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19" sheetId="1" r:id="rId4"/>
  </sheets>
  <definedNames/>
  <calcPr/>
  <extLst>
    <ext uri="GoogleSheetsCustomDataVersion2">
      <go:sheetsCustomData xmlns:go="http://customooxmlschemas.google.com/" r:id="rId5" roundtripDataChecksum="IRtCpv03F3cuKebjTZnU5QGTuPW5HdiUqbYbetEXdP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23">
      <text>
        <t xml:space="preserve">======
ID#AAABtEOZOBU
Noely Dhalton Diokila Mendez    (2025-10-22 11:44:07)
Esperamos también ahora una ligera mejora en el margen bruto.</t>
      </text>
    </comment>
    <comment authorId="0" ref="Q30">
      <text>
        <t xml:space="preserve">======
ID#AAABtEOZOBQ
Noely Dhalton Diokila Mendez    (2025-10-22 11:42:12)
Esperamos una reducción del 20%, por la reducción de costes legales, de personal y administrativos relacionados con el fin de los asuntos con el regulador. Ya en los 9M 2025 se habian reducido un 25%.</t>
      </text>
    </comment>
    <comment authorId="0" ref="Q31">
      <text>
        <t xml:space="preserve">======
ID#AAABtEOZOBM
Noely Dhalton Diokila Mendez    (2025-10-22 11:40:40)
Esperamos un crecimiento moderado, del 5%</t>
      </text>
    </comment>
    <comment authorId="0" ref="J232">
      <text>
        <t xml:space="preserve">======
ID#AAABjBRmMFg
Noely Dhalton Diokila Mendez    (2025-05-09 15:18:36)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P107">
      <text>
        <t xml:space="preserve">======
ID#AAABjBRmME4
Noely Dhalton Diokila Mendez    (2025-05-09 14:47:51)
No es que tengan eso de caja, al final al ser actividad bancaria es diferente.</t>
      </text>
    </comment>
    <comment authorId="0" ref="Q27">
      <text>
        <t xml:space="preserve">======
ID#AAABjBRmMEw
Noely Dhalton Diokila Mendez    (2025-05-09 14:35:31)
Subidas salariales del 2,5% compensadas con reducciones de personal que ya no necesitan ahora que acabaron los problemas con el regulador.</t>
      </text>
    </comment>
    <comment authorId="0" ref="R27">
      <text>
        <t xml:space="preserve">======
ID#AAABjBRmMEE
Noely Dhalton Diokila Mendez    (2025-05-09 13:55:03)
Crecimientos de solo el 2,5% en personal, pues aún pueden ser mucho más eficientes. La rentabilidad media por empleado de FlatexDegiro a cierre 2024 era de 380k€, la de sus pares de 575k, y el euipo directivo cree que puede cerrar el gap. Tampoco necesitan mucha más infraestructura de personal.
------
ID#AAABjBRmMEs
Noely Dhalton Diokila Mendez    (2025-05-09 14:31:22)
Incluye la retribución variable basada en acciones.</t>
      </text>
    </comment>
    <comment authorId="0" ref="R12">
      <text>
        <t xml:space="preserve">======
ID#AAABjBRmMD8
Noely Dhalton Diokila Mendez    (2025-05-09 13:53:05)
Asumo que con ya las Crypto disponibles en toda europa, e lanzamiento de planes de inversiones, acciones fraccionadas... pueden mejorar sus transacciones por cliente a niveles de incluso 25. Pero voy a ser conservador por que no es la primera vez que la compañía se propone algo sumamente ambicioso y fracasa. De todos modos, el nuevo equipo directivo, en especial el CFO, es una máquina y me gusta mucho. Me recuerda al equipo de Muhammad Charour.
------
ID#AAABjBRmMEI
Noely Dhalton Diokila Mendez    (2025-05-09 13:57:55)
Buscan reactivar también a más de 250k usuarios inactivos en la plataforma, en los cuales reactivar solo 1 transacción anual por cliente daría alrededor de 1 millón de euros más en ingresos que irian directos al margen.</t>
      </text>
    </comment>
    <comment authorId="0" ref="R13">
      <text>
        <t xml:space="preserve">======
ID#AAABjBRmMDg
Noely Dhalton Diokila Mendez    (2025-05-09 13:45:33)
Proyectamos subidas mínimas del 1% anual en las comisiones que yo creo que empiezan a estar a precios tensionados frente a la competencia.
------
ID#AAABtEOZOBY
Noely Dhalton Diokila Mendez    (2025-10-22 11:49:13)
No esperamos ahora más aumentos de comisiones/transacción, ya que creo que están en niveles altos y competitivos.</t>
      </text>
    </comment>
    <comment authorId="0" ref="Q11">
      <text>
        <t xml:space="preserve">======
ID#AAABjBRmMDY
Noely Dhalton Diokila Mendez    (2025-05-09 13:44:53)
Estimo un crecimiento de clientes este año de aún el 10% que creo que es conservador. A partir de ahí espero crecimientos más moderados los próximos años, crecimientos a ritmo del 7 al 5% donde hay que afrontar también el aumento de la competencia
------
ID#AAABjBRmMDk
Noely Dhalton Diokila Mendez    (2025-05-09 13:47:02)
Viendo la moderada respuesta de los nuevos clientes Crypto, de los que esperaba una mejor acogida, no voy a ser optimista con un mayor crecimiento de cuentas y de transacciones por cliente con el tema crypto. Pero si funcionase, podríamos tener crecimientos mucho más acelerados, no tanto en clientes, que también, pero sobretodo en transacciones.</t>
      </text>
    </comment>
    <comment authorId="0" ref="Q12">
      <text>
        <t xml:space="preserve">======
ID#AAABjBRmMDU
Noely Dhalton Diokila Mendez    (2025-05-09 13:43:28)
Asumo que la volatilidad se mantiene o aumenta por los vaivenes de donald Trump, lo que debería de mantener un volumen de transacciones altos incluso si hubiese un mercado bajista. No tanto así si llegase una recesión profunda, pero no es lo que estimo, solo cuento con un mercado bajista que, lo normal es que generase menos transacciones, pero por la volatilidad causada por Trump, se compensará. 
En el resto de años, estoy proyectando niveles neutrales de 23 transacciones promedio por cliente.
------
ID#AAABjBRmMDo
Noely Dhalton Diokila Mendez    (2025-05-09 13:47:07)
Viendo la moderada respuesta de los nuevos clientes Crypto, de los que esperaba una mejor acogida, no voy a ser optimista con un mayor crecimiento de cuentas y de transacciones por cliente con el tema crypto. Pero si funcionase, podríamos tener crecimientos mucho más acelerados, no tanto en clientes, que también, pero sobretodo en transacciones.</t>
      </text>
    </comment>
    <comment authorId="0" ref="P16">
      <text>
        <t xml:space="preserve">======
ID#AAABjBRmMCs
Noely Dhalton Diokila Mendez    (2025-05-09 13:28:04)
Logra superar nuestras estimaciones del 3,5% por una bajada de tipo más progresiva en el H2 y el efecto positivo de los préstamos de margen con intereses recibidos del 6 al 7%</t>
      </text>
    </comment>
    <comment authorId="0" ref="P15">
      <text>
        <t xml:space="preserve">======
ID#AAABjBRmMCg
Noely Dhalton Diokila Mendez    (2025-05-09 13:24:45)
Resulta un 9,7% por encima de mis estimaciones originales, lo que más que compensó la caída de tipos de interés y del numero de transacciones inferior a lo estimado.</t>
      </text>
    </comment>
    <comment authorId="0" ref="P13">
      <text>
        <t xml:space="preserve">======
ID#AAABjBRmMCY
Noely Dhalton Diokila Mendez    (2025-05-09 13:23:00)
Muy por encima de mis estimaciones.</t>
      </text>
    </comment>
    <comment authorId="0" ref="P12">
      <text>
        <t xml:space="preserve">======
ID#AAABjBRmMCQ
Noely Dhalton Diokila Mendez    (2025-05-09 13:19:05)
Estimabamos 22, pero siguen cayendo las transacciones por usuario, lo que se compensa con mauores ingresos por transacción. Sin embargo, la sensación es que el modelo de clientes es más largo placista que lo que lo era en antaño, por lo que se confirma que, en mi opinión, los niveles históricos de +40 transacciones por cliente no se van a dar más ya que antes era mucho más cortoplacista su base de clientes que ahora, lo que explica que ganen más aunque gestionen menos transacciones por cliente. Aun así, las transacciones totales han sido 63 millones, un 11% más que el año pasado con una base de clientes un 13,8% mayor.
------
ID#AAABjBRmMCU
Noely Dhalton Diokila Mendez    (2025-05-09 13:20:37)
Aclaro que, sobre el promedio de clientes del año, que fue de 2,88 millones de clientes, las transacciones por cliente fueron 22, así que en esa base comparable, las transaccioens por cliente (promedio anual) se mantuvo plano frente al año anterior.
------
ID#AAABjBRmMDA
Noely Dhalton Diokila Mendez    (2025-05-09 13:37:17)
El numero de clientes activos fue a cierre de año superior al 30% pero inferior al 39% de niveles del Q1 2022, recordemos que 2021 venía de ser frenético en volatilidad, incluso por las meme stocks y los rallys alcistas. Ahora el nivel está más normalizado, en nivles estables desde el Q4 2022.</t>
      </text>
    </comment>
    <comment authorId="0" ref="P11">
      <text>
        <t xml:space="preserve">======
ID#AAABjBRmMCI
Noely Dhalton Diokila Mendez    (2025-05-09 13:16:10)
lograron un 3,3% por encima de mis estimaciones originales. Buen acierto.</t>
      </text>
    </comment>
    <comment authorId="0" ref="J216">
      <text>
        <t xml:space="preserve">======
ID#AAABOLu7ipI
The Phoenix Capital    (2024-06-18 19:41:35)
En flatex no ajustamos la caja</t>
      </text>
    </comment>
    <comment authorId="0" ref="C190">
      <text>
        <t xml:space="preserve">======
ID#AAABOLu7iog
The Phoenix Capital    (2024-06-18 19:24:33)
Util aquí por que el Working Capital no tiene sentido</t>
      </text>
    </comment>
    <comment authorId="0" ref="P27">
      <text>
        <t xml:space="preserve">======
ID#AAABOLu7in4
The Phoenix Capital    (2024-06-18 19:01:47)
basicamente subidas salariales por inflación, pero el resto de personal no debería de variar demasiado.</t>
      </text>
    </comment>
    <comment authorId="0" ref="Q13">
      <text>
        <t xml:space="preserve">======
ID#AAABOLu7ins
The Phoenix Capital    (2024-06-18 19:00:02)
apenas al 1% anual, la competencia no permitirá más.</t>
      </text>
    </comment>
    <comment authorId="0" ref="P66">
      <text>
        <t xml:space="preserve">======
ID#AAABOLu7ing
The Phoenix Capital    (2024-06-18 18:59:06)
Se instauró el dividendo mínimo nuevo</t>
      </text>
    </comment>
    <comment authorId="0" ref="P41">
      <text>
        <t xml:space="preserve">======
ID#AAABOLu7inc
The Phoenix Capital    (2024-06-18 18:57:15)
No tiene deuda, al ser un banco/broker, es diferente</t>
      </text>
    </comment>
    <comment authorId="0" ref="C77">
      <text>
        <t xml:space="preserve">======
ID#AAABOLu7inM
The Phoenix Capital    (2024-06-18 18:56:11)
Tiene sentido en FTK porque no tiene deuda</t>
      </text>
    </comment>
    <comment authorId="0" ref="P70">
      <text>
        <t xml:space="preserve">======
ID#AAABOLu7imk
The Phoenix Capital    (2024-06-18 18:45:30)
Se mantienen sin cambios frente a 2023</t>
      </text>
    </comment>
    <comment authorId="0" ref="W7">
      <text>
        <t xml:space="preserve">======
ID#AAABOLMUGRw
The Phoenix Capital    (2024-06-16 07:29:48)
La mejora vendría post 2027 por expansión de ingresos y márgenes</t>
      </text>
    </comment>
    <comment authorId="0" ref="J222">
      <text>
        <t xml:space="preserve">======
ID#AAABOIvaQM4
The Phoenix Capital    (2024-06-14 14:47:55)
Sale de la tabla del final, donde se calcula el dividendo medio anual sobre el precio actual y se suma.</t>
      </text>
    </comment>
    <comment authorId="0" ref="Q157">
      <text>
        <t xml:space="preserve">======
ID#AAABPswWsMQ
The Phoenix Capital    (2024-06-08 21:44:48)
si quiere mantener el dividendo a toda costa, tendrá que endeudarse, o liberar una enorme presión sobre inventarios que me parece inviable.
------
ID#AAABPSD87cQ
The Phoenix Capital    (2024-06-09 18:48:37)
En este escenario, lo que planteamos es que proteja la caja a toda costa y no amplie deuda, que sería lo ideal para mi.</t>
      </text>
    </comment>
    <comment authorId="0" ref="P178">
      <text>
        <t xml:space="preserve">======
ID#AAABPsvxT6s
The Phoenix Capital    (2024-06-08 21:29:31)
conversión media del 85% como es históricamente.</t>
      </text>
    </comment>
    <comment authorId="0" ref="N174">
      <text>
        <t xml:space="preserve">======
ID#AAABPsvxT6k
The Phoenix Capital    (2024-06-08 21:26:39)
se empieza a aplicar la NIIF16</t>
      </text>
    </comment>
    <comment authorId="0" ref="C174">
      <text>
        <t xml:space="preserve">======
ID#AAABPsvxT6g
The Phoenix Capital    (2024-06-08 21:26:05)
EBIT - impuestos + dya - capex (incluyendo compra de intangibles) - arrendamientos (en europa)</t>
      </text>
    </comment>
    <comment authorId="0" ref="P157">
      <text>
        <t xml:space="preserve">======
ID#AAABPsghTLU
The Phoenix Capital    (2024-06-08 21:14:42)
ahora mismo la empresa solo tiene los 300 millones de la linea de credito renovable que usa y paga pero que a cierre de ejercicio siempre está pendiente de pago, por lo que en principio no deberían de reembolsarla, y menos en el entorno actual. Al revés podrían ampliarla.</t>
      </text>
    </comment>
    <comment authorId="0" ref="P195">
      <text>
        <t xml:space="preserve">======
ID#AAABPsghTLM
The Phoenix Capital    (2024-06-08 21:05:10)
sin cambios, no relevante.</t>
      </text>
    </comment>
    <comment authorId="0" ref="O89">
      <text>
        <t xml:space="preserve">======
ID#AAABLav2OnU
The Phoenix Capital    (2024-06-08 20:19:39)
el problema es que con la caida de la demanda, se comieron el inventario, que encima está aumentando para llevar a las tiendas las nuevas colecciones de Daniel Lee. A eso le sumas que los mayoristas dicen que tienen exceso de inventario y han bajado la demanda, pues eso son problemas. Y yo considero que eso puede extenderse en 2025 fiscal.</t>
      </text>
    </comment>
    <comment authorId="0" ref="R240">
      <text>
        <t xml:space="preserve">======
ID#AAABN7aq49c
The Phoenix Capital    (2024-05-23 19:42:46)
SIn descuento</t>
      </text>
    </comment>
    <comment authorId="0" ref="R246">
      <text>
        <t xml:space="preserve">======
ID#AAABNFmu-mM
The Phoenix Capital    (2024-05-12 18:56:56)
Atentos a los ajustes de los ciclos de CAGR</t>
      </text>
    </comment>
    <comment authorId="0" ref="J230">
      <text>
        <t xml:space="preserve">======
ID#AAABNFmu-mI
The Phoenix Capital    (2024-05-12 18:56:36)
Para un retorno sobre la valoración ABYA de seguridad del 10% al menos.</t>
      </text>
    </comment>
    <comment authorId="0" ref="P102">
      <text>
        <t xml:space="preserve">======
ID#AAABNFmu-mE
The Phoenix Capital    (2024-05-12 18:37:38)
Equity del año anterior + beneficio neto del año - recompras- dividendos.</t>
      </text>
    </comment>
    <comment authorId="0" ref="P174">
      <text>
        <t xml:space="preserve">======
ID#AAABNFmu-lw
The Phoenix Capital    (2024-05-12 18:27:03)
Calculado como conversión del Beneficio Neto, por que no me fío de las variaciones del circulante.</t>
      </text>
    </comment>
    <comment authorId="0" ref="P197">
      <text>
        <t xml:space="preserve">======
ID#AAABNFmu-lQ
The Phoenix Capital    (2024-05-12 17:32:55)
Ya completamente normalizada la situación, parece coherente repagar a ritmos del 2019.</t>
      </text>
    </comment>
    <comment authorId="0" ref="C157">
      <text>
        <t xml:space="preserve">======
ID#AAABNFmu-lM
The Phoenix Capital    (2024-05-12 17:29:45)
Partida externa, cuidado de no meterla en el sumatorio del cash flow normalizado</t>
      </text>
    </comment>
    <comment authorId="0" ref="O172">
      <text>
        <t xml:space="preserve">======
ID#AAABNFmu-k4
The Phoenix Capital    (2024-05-12 17:06:35)
Hasta aqui pone solo el efectivo, sin sumar adicionalmente los equivalentes de efectivo. De aqui en adelante, en las proyecciones, a la hora de simplificar lo proyeco el efectivo y equivalentes como una única partida.</t>
      </text>
    </comment>
    <comment authorId="0" ref="P136">
      <text>
        <t xml:space="preserve">======
ID#AAABNFmu-kc
The Phoenix Capital    (2024-05-12 16:27:57)
tampoco podemos proyectarlo, y lo normalizamos a 0.</t>
      </text>
    </comment>
    <comment authorId="0" ref="P135">
      <text>
        <t xml:space="preserve">======
ID#AAABNFmu-kY
The Phoenix Capital    (2024-05-12 16:26:14)
NORMALIZAMOS A 0, no proyecto próximas ventas</t>
      </text>
    </comment>
    <comment authorId="0" ref="B110">
      <text>
        <t xml:space="preserve">======
ID#AAABNcwXVag
The Phoenix Capital    (2024-05-11 19:41:07)
Excluyendo minoritarios</t>
      </text>
    </comment>
    <comment authorId="0" ref="P46">
      <text>
        <t xml:space="preserve">======
ID#AAABNcwXVaM
The Phoenix Capital    (2024-05-11 19:07:41)
Normalizando a 0</t>
      </text>
    </comment>
    <comment authorId="0" ref="B43">
      <text>
        <t xml:space="preserve">======
ID#AAABNcwXVaI
The Phoenix Capital    (2024-05-11 19:05:29)
Perdidas cambiarias e ingresos/perdidas sobre capital invertido</t>
      </text>
    </comment>
    <comment authorId="0" ref="B176">
      <text>
        <t xml:space="preserve">======
ID#AAABKnaYmjs
The Phoenix Capital    (2024-04-13 20:50:56)
Siempre que la conversión Beneficio Neto/FCF sea mayor del 80% es fiable el Sistema ABYA. Cuanto más, más fiable y menos descuento es necesario.</t>
      </text>
    </comment>
    <comment authorId="0" ref="P191">
      <text>
        <t xml:space="preserve">======
ID#AAABKnaYmjg
The Phoenix Capital    (2024-04-13 20:14:17)
se acaban los sars</t>
      </text>
    </comment>
    <comment authorId="0" ref="B141">
      <text>
        <t xml:space="preserve">======
ID#AAABKnaYmjc
The Phoenix Capital    (2024-04-13 20:12:37)
seguridad social, pensiones, etc.</t>
      </text>
    </comment>
  </commentList>
  <extLst>
    <ext uri="GoogleSheetsCustomDataVersion2">
      <go:sheetsCustomData xmlns:go="http://customooxmlschemas.google.com/" r:id="rId1" roundtripDataSignature="AMtx7mhS26uVj0d3oM7s4fxqMPj5i86oDQ=="/>
    </ext>
  </extLst>
</comments>
</file>

<file path=xl/sharedStrings.xml><?xml version="1.0" encoding="utf-8"?>
<sst xmlns="http://schemas.openxmlformats.org/spreadsheetml/2006/main" count="233" uniqueCount="203">
  <si>
    <t>EUR</t>
  </si>
  <si>
    <t>Valoración By The Vanguard Research</t>
  </si>
  <si>
    <t>Noely D. Diokila Mendez</t>
  </si>
  <si>
    <t>Cuenta de Resultados de FlatexDegiro</t>
  </si>
  <si>
    <t>En MM€</t>
  </si>
  <si>
    <t>2025E</t>
  </si>
  <si>
    <t>2026E</t>
  </si>
  <si>
    <t>2027E</t>
  </si>
  <si>
    <t>2028E</t>
  </si>
  <si>
    <t>2029E</t>
  </si>
  <si>
    <t>CAGR desde 03/2024</t>
  </si>
  <si>
    <t>Ingresos Totales</t>
  </si>
  <si>
    <t>% Crecimiento</t>
  </si>
  <si>
    <t>Desglose de Ingresos (Desplegable)</t>
  </si>
  <si>
    <t>Nº de Clientes</t>
  </si>
  <si>
    <t>Transacciones/cliente</t>
  </si>
  <si>
    <t>Ingreso/transacción</t>
  </si>
  <si>
    <t>Ingresos Totales Por Comisiones de Transacc.</t>
  </si>
  <si>
    <t>Depositos en efectivo remunerados</t>
  </si>
  <si>
    <t>Interes Rate %</t>
  </si>
  <si>
    <t>Ingresos de Intereses Totales</t>
  </si>
  <si>
    <t>IT y otros</t>
  </si>
  <si>
    <t>Otros Ingresos</t>
  </si>
  <si>
    <t>Coste de los bienes vendidos</t>
  </si>
  <si>
    <t>Ingresos Brutos</t>
  </si>
  <si>
    <t>Gross Margin</t>
  </si>
  <si>
    <t>Gastos de Personal</t>
  </si>
  <si>
    <t>Gastos de Retribución variable a largo plazo de Personal</t>
  </si>
  <si>
    <t>Depreciación y Amortización</t>
  </si>
  <si>
    <t>Otros Ingresos (gastos) operativos</t>
  </si>
  <si>
    <t>Gastos de Marketing y Publicidad</t>
  </si>
  <si>
    <t>Beneficio Operativo</t>
  </si>
  <si>
    <t>EBITDA</t>
  </si>
  <si>
    <t>% Margin</t>
  </si>
  <si>
    <t>EBIT</t>
  </si>
  <si>
    <t>Variación</t>
  </si>
  <si>
    <t>Intereses Netos</t>
  </si>
  <si>
    <t xml:space="preserve">Intereses Arrendamientos </t>
  </si>
  <si>
    <t>Otros, Netos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</si>
  <si>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</si>
  <si>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</si>
  <si>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</si>
  <si>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</si>
  <si>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</si>
  <si>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</si>
  <si>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</si>
  <si>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</si>
  <si>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</si>
  <si>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</si>
  <si>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</si>
  <si>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</si>
  <si>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</si>
  <si>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</si>
  <si>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</si>
  <si>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</si>
  <si>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</si>
  <si>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</si>
  <si>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</si>
  <si>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</si>
  <si>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</si>
  <si>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</si>
  <si>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Depreciación y Amortización % de ventas</t>
  </si>
  <si>
    <t xml:space="preserve">Otros Ingresos (gastos) operativos como % de las ventas </t>
  </si>
  <si>
    <t>Gastos de Marketing y Publicidad como % de las ventas</t>
  </si>
  <si>
    <t>Tasa Impositiva</t>
  </si>
  <si>
    <t xml:space="preserve">Intereses Netos como % de los ingresos </t>
  </si>
  <si>
    <t>Intereses Arrendamientos como % sobre arrendamientos totales</t>
  </si>
  <si>
    <t xml:space="preserve">Intereses Minoritarios % beneficios netos </t>
  </si>
  <si>
    <t>Margen EBIT</t>
  </si>
  <si>
    <t>Dilución de acciones</t>
  </si>
  <si>
    <t xml:space="preserve">Balance FTK </t>
  </si>
  <si>
    <t>2024E</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</si>
  <si>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</si>
  <si>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</si>
  <si>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</si>
  <si>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</si>
  <si>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</si>
  <si>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</si>
  <si>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</si>
  <si>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</si>
  <si>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</si>
  <si>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</si>
  <si>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</si>
  <si>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</si>
  <si>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</si>
  <si>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</si>
  <si>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Arrendamientos</t>
  </si>
  <si>
    <t>Deuda Neta</t>
  </si>
  <si>
    <t>ROE medio</t>
  </si>
  <si>
    <t>Valor en Libros/Acción</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</si>
  <si>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</si>
  <si>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</si>
  <si>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</si>
  <si>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</si>
  <si>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</si>
  <si>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</si>
  <si>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</si>
  <si>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</si>
  <si>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</si>
  <si>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</si>
  <si>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</si>
  <si>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</si>
  <si>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FlatexDegiro</t>
  </si>
  <si>
    <t>Beneficios Netos</t>
  </si>
  <si>
    <t>Depreciación y amortización</t>
  </si>
  <si>
    <t>Amortización de cargos diferidos</t>
  </si>
  <si>
    <t>(ganancia) Pérdida por venta de activos</t>
  </si>
  <si>
    <t xml:space="preserve">Deterioro de activos y costes de reestructuración </t>
  </si>
  <si>
    <t>Compensación basada en acciones</t>
  </si>
  <si>
    <t>(Ingresos) Pérdida en inversiones de capital</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</si>
  <si>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</si>
  <si>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</si>
  <si>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</si>
  <si>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</si>
  <si>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</si>
  <si>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</si>
  <si>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</si>
  <si>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de inmobilizado material</t>
  </si>
  <si>
    <t>Venta (compra) de activos intangibles</t>
  </si>
  <si>
    <t>Adquisiciones con efectivo</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</si>
  <si>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</si>
  <si>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</si>
  <si>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</si>
  <si>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</si>
  <si>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</si>
  <si>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</si>
  <si>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</si>
  <si>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</si>
  <si>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</si>
  <si>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</si>
  <si>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intereses pagados por deudas</t>
  </si>
  <si>
    <t>Otros</t>
  </si>
  <si>
    <t>Cash Flow From Financing Activities</t>
  </si>
  <si>
    <t xml:space="preserve">TOTAL Cash Flow antes de movimientos bancarios </t>
  </si>
  <si>
    <t xml:space="preserve">Cash Flow de Actividades Bancarias </t>
  </si>
  <si>
    <t>Non-cash Movements equity</t>
  </si>
  <si>
    <t>Beginning Cash and Equivalents</t>
  </si>
  <si>
    <t xml:space="preserve">Change in Cash </t>
  </si>
  <si>
    <t>Ending Cash and Equivalents</t>
  </si>
  <si>
    <t xml:space="preserve">Free Cash Flow to the Firm </t>
  </si>
  <si>
    <t>Evolución</t>
  </si>
  <si>
    <t>Conversión Beneficio Neto a FCF</t>
  </si>
  <si>
    <t>Free Cash Flow to the Firm Normalizado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</si>
  <si>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</si>
  <si>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</si>
  <si>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</si>
  <si>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</si>
  <si>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 xml:space="preserve">Otras actividades operativas como % de las ventas </t>
  </si>
  <si>
    <t xml:space="preserve">Otros cambios sin (con) salida de efectivo como % de las ventas </t>
  </si>
  <si>
    <t>SBC como % de ingresos</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</si>
  <si>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</si>
  <si>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</si>
  <si>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</si>
  <si>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</si>
  <si>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</si>
  <si>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</si>
  <si>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las ventas </t>
  </si>
  <si>
    <t>Payout(%)</t>
  </si>
  <si>
    <t xml:space="preserve">Intereses pagados por deuda como % de los intereses de la P&amp;L </t>
  </si>
  <si>
    <t>Otras actividades de inversión % ventas</t>
  </si>
  <si>
    <t xml:space="preserve">Cambio de divisa, ajuste como % de las ventas </t>
  </si>
  <si>
    <t xml:space="preserve">Actividades bancarias como % de las ventas </t>
  </si>
  <si>
    <t>VALORACIÓN FINAL FlatexDegiro</t>
  </si>
  <si>
    <t>VALORACIÓN POR MÚLTIPLOS</t>
  </si>
  <si>
    <t xml:space="preserve">Valoración ABYA </t>
  </si>
  <si>
    <t>P/Beneficios Netos actual</t>
  </si>
  <si>
    <t>P/Beneficios Netos máxim0</t>
  </si>
  <si>
    <t>P/Beneficios Netos mínimo</t>
  </si>
  <si>
    <t>P/Beneficios Netos usado</t>
  </si>
  <si>
    <t>Net cash/(debt) per share</t>
  </si>
  <si>
    <t>Precio Actual</t>
  </si>
  <si>
    <t xml:space="preserve">Precio Objetivo </t>
  </si>
  <si>
    <t xml:space="preserve">Dividendo Anualizado </t>
  </si>
  <si>
    <t>Retorno total Neto</t>
  </si>
  <si>
    <t>IRR a Marzo 2027</t>
  </si>
  <si>
    <t xml:space="preserve">Retorno Total dividendos </t>
  </si>
  <si>
    <t xml:space="preserve">Precio Objetivo de Entrada </t>
  </si>
  <si>
    <t>Valor en Libros</t>
  </si>
  <si>
    <t>Variación de precio necesaria</t>
  </si>
  <si>
    <t>Cálculo Multiplo ABYA</t>
  </si>
  <si>
    <t xml:space="preserve">Decisión </t>
  </si>
  <si>
    <t>Vender</t>
  </si>
  <si>
    <t>ROE</t>
  </si>
  <si>
    <t>K</t>
  </si>
  <si>
    <t>CE</t>
  </si>
  <si>
    <t>נ</t>
  </si>
  <si>
    <t>Multiplo ABYA de seguridad</t>
  </si>
  <si>
    <t>Multiplo Natural intrínseco</t>
  </si>
  <si>
    <t>Valoración Intrínseca ABYA/acción a  12/2029</t>
  </si>
  <si>
    <t xml:space="preserve">Retorno Total desde precio actual </t>
  </si>
  <si>
    <t xml:space="preserve">CAGR </t>
  </si>
  <si>
    <t xml:space="preserve">Dividendos </t>
  </si>
  <si>
    <t>IRR CON DIVIDENDOS</t>
  </si>
  <si>
    <r>
      <rPr>
        <rFont val="Arial"/>
        <color theme="1"/>
        <sz val="9.0"/>
      </rPr>
      <t xml:space="preserve">Retorno Total sobre </t>
    </r>
    <r>
      <rPr>
        <rFont val="Arial"/>
        <b/>
        <color theme="1"/>
        <sz val="9.0"/>
      </rPr>
      <t>Precio Objetivo</t>
    </r>
  </si>
  <si>
    <t>CAGR</t>
  </si>
  <si>
    <t xml:space="preserve">Valoración Intrínseca de Seguridad Total </t>
  </si>
  <si>
    <r>
      <rPr>
        <rFont val="Arial"/>
        <color theme="1"/>
        <sz val="9.0"/>
      </rPr>
      <t xml:space="preserve">Retorno Total sobre </t>
    </r>
    <r>
      <rPr>
        <rFont val="Arial"/>
        <b/>
        <color theme="1"/>
        <sz val="9.0"/>
      </rPr>
      <t>Precio Objetivo</t>
    </r>
  </si>
  <si>
    <t xml:space="preserve">ROE MEDIO </t>
  </si>
  <si>
    <t xml:space="preserve">Precio Objetivo  </t>
  </si>
  <si>
    <t xml:space="preserve">Precio Objetivo Rango Bajo </t>
  </si>
  <si>
    <t>Retorno Total desde Precio Actual</t>
  </si>
  <si>
    <t>Dividendos</t>
  </si>
  <si>
    <t>Retorno Total  Accionista</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</si>
</sst>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_ * #,##0.00_ \ [$$-C0C]_ ;_ * \-#,##0.00\ \ [$$-C0C]_ ;_ * &quot;-&quot;??_ \ [$$-C0C]_ ;_ @_ "/>
    <numFmt numFmtId="165" formatCode="#,##0.00\ [$€-1]"/>
    <numFmt numFmtId="166" formatCode="#,##0\ [$€-1]"/>
    <numFmt numFmtId="167" formatCode="_-* #,##0.00\ [$€-C0A]_-;\-* #,##0.00\ [$€-C0A]_-;_-* &quot;-&quot;??\ [$€-C0A]_-;_-@"/>
    <numFmt numFmtId="168" formatCode="[$£]#,##0.00"/>
    <numFmt numFmtId="169" formatCode="#,##0.00\ [$$-C0C];[Red]#,##0.00\ [$$-C0C]"/>
    <numFmt numFmtId="170" formatCode="0.00;[Red]0.00"/>
    <numFmt numFmtId="171" formatCode="_-* #,##0.00\ &quot;€&quot;_-;\-* #,##0.00\ &quot;€&quot;_-;_-* &quot;-&quot;??\ &quot;€&quot;_-;_-@"/>
    <numFmt numFmtId="172" formatCode="0.0%"/>
    <numFmt numFmtId="173" formatCode="#,##0.0\ [$€-1]"/>
    <numFmt numFmtId="174" formatCode="0.0"/>
  </numFmts>
  <fonts count="62">
    <font>
      <sz val="10.0"/>
      <color rgb="FF000000"/>
      <name val="Arial"/>
      <scheme val="minor"/>
    </font>
    <font>
      <sz val="10.0"/>
      <color theme="1"/>
      <name val="Arial"/>
    </font>
    <font>
      <b/>
      <sz val="10.0"/>
      <color rgb="FF4A86E8"/>
      <name val="Arial"/>
    </font>
    <font>
      <b/>
      <sz val="11.0"/>
      <color rgb="FF4A86E8"/>
      <name val="Arial"/>
    </font>
    <font>
      <b/>
      <sz val="11.0"/>
      <color rgb="FF277E3E"/>
      <name val="Arial"/>
    </font>
    <font>
      <b/>
      <sz val="10.0"/>
      <color rgb="FF277E3E"/>
      <name val="Arial"/>
    </font>
    <font>
      <sz val="10.0"/>
      <color rgb="FF000000"/>
      <name val="Arial"/>
    </font>
    <font>
      <b/>
      <sz val="10.0"/>
      <color rgb="FF000000"/>
      <name val="Arial"/>
    </font>
    <font>
      <b/>
      <sz val="13.0"/>
      <color theme="1"/>
      <name val="Arial"/>
    </font>
    <font/>
    <font>
      <b/>
      <color rgb="FFBF9000"/>
      <name val="Arial"/>
    </font>
    <font>
      <b/>
      <color rgb="FF38761D"/>
      <name val="Arial"/>
    </font>
    <font>
      <b/>
      <sz val="10.0"/>
      <color rgb="FFBF9000"/>
      <name val="Arial"/>
    </font>
    <font>
      <color theme="1"/>
      <name val="Arial"/>
    </font>
    <font>
      <b/>
      <sz val="10.0"/>
      <color rgb="FF0C5ADB"/>
      <name val="Arial"/>
    </font>
    <font>
      <color rgb="FF000000"/>
      <name val="Arial"/>
    </font>
    <font>
      <b/>
      <color rgb="FF000000"/>
      <name val="Arial"/>
    </font>
    <font>
      <sz val="10.0"/>
      <color theme="4"/>
      <name val="Arial"/>
    </font>
    <font>
      <b/>
      <color rgb="FF0C5ADB"/>
      <name val="Arial"/>
    </font>
    <font>
      <color theme="4"/>
      <name val="Arial"/>
    </font>
    <font>
      <color rgb="FF4A86E8"/>
      <name val="Arial"/>
    </font>
    <font>
      <b/>
      <color rgb="FF4A86E8"/>
      <name val="Arial"/>
    </font>
    <font>
      <b/>
      <sz val="10.0"/>
      <color rgb="FFBC8D03"/>
      <name val="Arial"/>
    </font>
    <font>
      <b/>
      <color rgb="FFBC8D03"/>
      <name val="Arial"/>
    </font>
    <font>
      <b/>
      <sz val="10.0"/>
      <color theme="1"/>
      <name val="Arial"/>
    </font>
    <font>
      <b/>
      <sz val="10.0"/>
      <color rgb="FF1155CC"/>
      <name val="Arial"/>
    </font>
    <font>
      <sz val="10.0"/>
      <color rgb="FF000000"/>
      <name val="Roboto"/>
    </font>
    <font>
      <color theme="1"/>
      <name val="Roboto"/>
    </font>
    <font>
      <b/>
      <sz val="10.0"/>
      <color rgb="FF38761D"/>
      <name val="Arial"/>
    </font>
    <font>
      <b/>
      <sz val="10.0"/>
      <color rgb="FF38761D"/>
      <name val="Roboto"/>
    </font>
    <font>
      <sz val="10.0"/>
      <color theme="1"/>
      <name val="Roboto"/>
    </font>
    <font>
      <sz val="10.0"/>
      <color rgb="FFBF9000"/>
      <name val="Arial"/>
    </font>
    <font>
      <sz val="11.0"/>
      <color rgb="FF000000"/>
      <name val="Roboto"/>
    </font>
    <font>
      <b/>
      <color theme="1"/>
      <name val="Arial"/>
    </font>
    <font>
      <i/>
      <sz val="13.0"/>
      <color theme="1"/>
      <name val="Impact"/>
    </font>
    <font>
      <b/>
      <sz val="14.0"/>
      <color rgb="FF000000"/>
      <name val="Arial"/>
    </font>
    <font>
      <sz val="11.0"/>
      <color theme="1"/>
      <name val="Roboto"/>
    </font>
    <font>
      <b/>
      <sz val="10.0"/>
      <color rgb="FF4A86E8"/>
      <name val="Roboto"/>
    </font>
    <font>
      <b/>
      <color rgb="FF4A86E8"/>
      <name val="Roboto"/>
    </font>
    <font>
      <b/>
      <sz val="10.0"/>
      <color rgb="FF7F6000"/>
      <name val="Arial"/>
    </font>
    <font>
      <b/>
      <color rgb="FF7F6000"/>
      <name val="Arial"/>
    </font>
    <font>
      <b/>
      <sz val="10.0"/>
      <color rgb="FF000000"/>
      <name val="Roboto"/>
    </font>
    <font>
      <b/>
      <color theme="1"/>
      <name val="Roboto"/>
    </font>
    <font>
      <b/>
      <sz val="10.0"/>
      <color rgb="FFBC8D03"/>
      <name val="Roboto"/>
    </font>
    <font>
      <b/>
      <color rgb="FFBC8D03"/>
      <name val="Roboto"/>
    </font>
    <font>
      <b/>
      <sz val="14.0"/>
      <color theme="1"/>
      <name val="Arial"/>
    </font>
    <font>
      <sz val="11.0"/>
      <color theme="1"/>
      <name val="Arial"/>
    </font>
    <font>
      <i/>
      <sz val="11.0"/>
      <color rgb="FF000000"/>
      <name val="Roboto"/>
    </font>
    <font>
      <i/>
      <sz val="10.0"/>
      <color rgb="FF000000"/>
      <name val="Roboto"/>
    </font>
    <font>
      <i/>
      <color theme="1"/>
      <name val="Roboto"/>
    </font>
    <font>
      <b/>
      <sz val="11.0"/>
      <color rgb="FFBC8D03"/>
      <name val="Arial"/>
    </font>
    <font>
      <sz val="10.0"/>
      <color rgb="FFBC8D03"/>
      <name val="Arial"/>
    </font>
    <font>
      <b/>
      <sz val="11.0"/>
      <color rgb="FF000000"/>
      <name val="Roboto"/>
    </font>
    <font>
      <sz val="13.0"/>
      <color theme="1"/>
      <name val="Impact"/>
    </font>
    <font>
      <b/>
      <i/>
      <sz val="10.0"/>
      <color theme="1"/>
      <name val="Arial"/>
    </font>
    <font>
      <b/>
      <sz val="11.0"/>
      <color theme="1"/>
      <name val="Arial"/>
    </font>
    <font>
      <b/>
      <i/>
      <sz val="10.0"/>
      <color rgb="FF38761D"/>
      <name val="Arial"/>
    </font>
    <font>
      <i/>
      <sz val="10.0"/>
      <color theme="1"/>
      <name val="Arial"/>
    </font>
    <font>
      <sz val="9.0"/>
      <color theme="1"/>
      <name val="Arial"/>
    </font>
    <font>
      <b/>
      <sz val="9.0"/>
      <color theme="1"/>
      <name val="Arial"/>
    </font>
    <font>
      <b/>
      <i/>
      <sz val="10.0"/>
      <color rgb="FF000000"/>
      <name val="Arial"/>
    </font>
    <font>
      <b/>
      <i/>
      <sz val="10.0"/>
      <color rgb="FFFF0000"/>
      <name val="Arial"/>
    </font>
  </fonts>
  <fills count="24">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2CC"/>
        <bgColor rgb="FFFFF2CC"/>
      </patternFill>
    </fill>
    <fill>
      <patternFill patternType="solid">
        <fgColor rgb="FFFFFFFF"/>
        <bgColor rgb="FFFFFFFF"/>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FF0000"/>
        <bgColor rgb="FFFF0000"/>
      </patternFill>
    </fill>
    <fill>
      <patternFill patternType="solid">
        <fgColor rgb="FFA4C2F4"/>
        <bgColor rgb="FFA4C2F4"/>
      </patternFill>
    </fill>
    <fill>
      <patternFill patternType="solid">
        <fgColor theme="7"/>
        <bgColor theme="7"/>
      </patternFill>
    </fill>
    <fill>
      <patternFill patternType="solid">
        <fgColor rgb="FFFFD966"/>
        <bgColor rgb="FFFFD966"/>
      </patternFill>
    </fill>
  </fills>
  <borders count="51">
    <border/>
    <border>
      <left/>
      <right/>
      <top/>
      <bottom/>
    </border>
    <border>
      <left/>
      <top/>
      <bottom/>
    </border>
    <border>
      <top/>
      <bottom/>
    </border>
    <border>
      <left style="thick">
        <color rgb="FFBC8D03"/>
      </left>
      <top style="thick">
        <color rgb="FFBC8D03"/>
      </top>
    </border>
    <border>
      <right style="thick">
        <color rgb="FFBC8D03"/>
      </right>
      <top style="thick">
        <color rgb="FFBC8D03"/>
      </top>
    </border>
    <border>
      <left style="thick">
        <color rgb="FFBC8D03"/>
      </left>
    </border>
    <border>
      <right style="thick">
        <color rgb="FFBC8D03"/>
      </right>
    </border>
    <border>
      <left style="thick">
        <color rgb="FFBC8D03"/>
      </left>
      <right style="thick">
        <color rgb="FFBC8D03"/>
      </right>
    </border>
    <border>
      <top style="thin">
        <color rgb="FF000000"/>
      </top>
    </border>
    <border>
      <bottom style="thin">
        <color rgb="FF000000"/>
      </bottom>
    </border>
    <border>
      <left style="thick">
        <color rgb="FFBC8D03"/>
      </left>
      <bottom style="thick">
        <color rgb="FFBC8D03"/>
      </bottom>
    </border>
    <border>
      <right style="thick">
        <color rgb="FFBC8D03"/>
      </right>
      <bottom style="thick">
        <color rgb="FFBC8D03"/>
      </bottom>
    </border>
    <border>
      <left/>
      <right/>
      <top/>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C8D03"/>
      </right>
      <top style="thick">
        <color rgb="FFBF9000"/>
      </top>
    </border>
    <border>
      <left style="thick">
        <color rgb="FFBF9000"/>
      </left>
      <bottom style="thick">
        <color rgb="FFBF9000"/>
      </bottom>
    </border>
    <border>
      <bottom style="thick">
        <color rgb="FFBF9000"/>
      </bottom>
    </border>
    <border>
      <right style="thick">
        <color rgb="FFBC8D03"/>
      </right>
      <bottom style="thick">
        <color rgb="FFBF9000"/>
      </bottom>
    </border>
    <border>
      <left/>
      <right/>
      <top style="thick">
        <color rgb="FFBF9000"/>
      </top>
      <bottom/>
    </border>
    <border>
      <left/>
      <right style="thick">
        <color rgb="FFBF9000"/>
      </right>
      <top style="thick">
        <color rgb="FFBF9000"/>
      </top>
      <bottom/>
    </border>
    <border>
      <left style="thick">
        <color rgb="FFBF9000"/>
      </left>
    </border>
    <border>
      <right style="thick">
        <color rgb="FFBF9000"/>
      </right>
    </border>
    <border>
      <right style="thick">
        <color rgb="FFBF9000"/>
      </right>
      <bottom style="thick">
        <color rgb="FFBF9000"/>
      </bottom>
    </border>
    <border>
      <top style="medium">
        <color rgb="FFBC8D03"/>
      </top>
    </border>
    <border>
      <left/>
      <right/>
      <bottom/>
    </border>
    <border>
      <left/>
      <right/>
      <top style="medium">
        <color rgb="FFBC8D03"/>
      </top>
      <bottom/>
    </border>
    <border>
      <left style="thick">
        <color rgb="FFBF9000"/>
      </left>
      <top style="thick">
        <color rgb="FFBF9000"/>
      </top>
      <bottom/>
    </border>
    <border>
      <top style="thick">
        <color rgb="FFBF9000"/>
      </top>
      <bottom/>
    </border>
    <border>
      <right style="thick">
        <color rgb="FFBF9000"/>
      </right>
      <top style="thick">
        <color rgb="FFBF9000"/>
      </top>
      <bottom/>
    </border>
    <border>
      <left style="thick">
        <color rgb="FFBF9000"/>
      </left>
      <right/>
      <top/>
      <bottom/>
    </border>
    <border>
      <left/>
      <right style="thick">
        <color rgb="FFBF9000"/>
      </right>
      <top/>
      <bottom/>
    </border>
    <border>
      <left style="thick">
        <color rgb="FFBF9000"/>
      </left>
      <right/>
      <top/>
      <bottom style="thick">
        <color rgb="FFBF9000"/>
      </bottom>
    </border>
    <border>
      <left/>
      <right/>
      <top/>
      <bottom style="thick">
        <color rgb="FFBF9000"/>
      </bottom>
    </border>
    <border>
      <left/>
      <right style="thick">
        <color rgb="FFBF9000"/>
      </right>
      <top/>
      <bottom style="thick">
        <color rgb="FFBF9000"/>
      </bottom>
    </border>
    <border>
      <top style="thick">
        <color rgb="FFBC8D03"/>
      </top>
    </border>
    <border>
      <bottom style="thick">
        <color rgb="FFBC8D03"/>
      </bottom>
    </border>
    <border>
      <right style="thick">
        <color rgb="FFBF9000"/>
      </right>
      <top style="thick">
        <color rgb="FFBF9000"/>
      </top>
    </border>
    <border>
      <left style="thick">
        <color rgb="FFBC8D03"/>
      </left>
      <bottom/>
    </border>
    <border>
      <bottom/>
    </border>
    <border>
      <left/>
      <right style="thick">
        <color rgb="FFBC8D03"/>
      </right>
      <bottom/>
    </border>
    <border>
      <left style="thick">
        <color rgb="FFBC8D03"/>
      </left>
      <top style="thick">
        <color rgb="FF0000FF"/>
      </top>
    </border>
    <border>
      <top style="thick">
        <color rgb="FF0000FF"/>
      </top>
    </border>
    <border>
      <right style="thick">
        <color rgb="FFBC8D03"/>
      </right>
      <top style="thick">
        <color rgb="FF0000FF"/>
      </top>
    </border>
    <border>
      <left style="thick">
        <color rgb="FFBC8D03"/>
      </left>
      <bottom style="thick">
        <color rgb="FFBF9000"/>
      </bottom>
    </border>
    <border>
      <left/>
      <right style="thick">
        <color rgb="FFBC8D03"/>
      </right>
    </border>
  </borders>
  <cellStyleXfs count="1">
    <xf borderId="0" fillId="0" fontId="0" numFmtId="0" applyAlignment="1" applyFont="1"/>
  </cellStyleXfs>
  <cellXfs count="451">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2" fontId="4" numFmtId="0" xfId="0" applyFont="1"/>
    <xf borderId="0" fillId="0" fontId="5" numFmtId="0" xfId="0" applyAlignment="1" applyFont="1">
      <alignment horizontal="center"/>
    </xf>
    <xf borderId="0" fillId="0" fontId="1" numFmtId="0" xfId="0" applyFont="1"/>
    <xf borderId="0" fillId="0" fontId="6" numFmtId="0" xfId="0" applyFont="1"/>
    <xf borderId="0" fillId="0" fontId="7" numFmtId="0" xfId="0" applyAlignment="1" applyFont="1">
      <alignment horizontal="center"/>
    </xf>
    <xf borderId="0" fillId="3" fontId="8"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0" fillId="2" fontId="10" numFmtId="0" xfId="0" applyAlignment="1" applyFont="1">
      <alignment horizontal="right" vertical="bottom"/>
    </xf>
    <xf borderId="0" fillId="2" fontId="11" numFmtId="0" xfId="0" applyAlignment="1" applyFont="1">
      <alignment horizontal="right" vertical="bottom"/>
    </xf>
    <xf borderId="4" fillId="4" fontId="5" numFmtId="0" xfId="0" applyAlignment="1" applyBorder="1" applyFill="1" applyFont="1">
      <alignment horizontal="center"/>
    </xf>
    <xf borderId="5" fillId="0" fontId="9" numFmtId="0" xfId="0" applyBorder="1" applyFont="1"/>
    <xf borderId="0" fillId="0" fontId="12" numFmtId="0" xfId="0" applyAlignment="1" applyFont="1">
      <alignment horizontal="left"/>
    </xf>
    <xf borderId="0" fillId="0" fontId="12" numFmtId="0" xfId="0" applyAlignment="1" applyFont="1">
      <alignment horizontal="center"/>
    </xf>
    <xf borderId="0" fillId="0" fontId="12" numFmtId="164" xfId="0" applyAlignment="1" applyFont="1" applyNumberFormat="1">
      <alignment horizontal="center"/>
    </xf>
    <xf borderId="0" fillId="0" fontId="12" numFmtId="165" xfId="0" applyAlignment="1" applyFont="1" applyNumberFormat="1">
      <alignment horizontal="right"/>
    </xf>
    <xf borderId="0" fillId="0" fontId="12" numFmtId="0" xfId="0" applyFont="1"/>
    <xf borderId="6" fillId="0" fontId="12" numFmtId="10" xfId="0" applyAlignment="1" applyBorder="1" applyFont="1" applyNumberFormat="1">
      <alignment horizontal="center"/>
    </xf>
    <xf borderId="7" fillId="0" fontId="9" numFmtId="0" xfId="0" applyBorder="1" applyFont="1"/>
    <xf borderId="0" fillId="0" fontId="1" numFmtId="0" xfId="0" applyAlignment="1" applyFont="1">
      <alignment horizontal="center"/>
    </xf>
    <xf borderId="0" fillId="0" fontId="1" numFmtId="10" xfId="0" applyAlignment="1" applyFont="1" applyNumberFormat="1">
      <alignment horizontal="right"/>
    </xf>
    <xf borderId="0" fillId="0" fontId="13" numFmtId="0" xfId="0" applyAlignment="1" applyFont="1">
      <alignment horizontal="center"/>
    </xf>
    <xf borderId="0" fillId="0" fontId="14" numFmtId="0" xfId="0" applyAlignment="1" applyFont="1">
      <alignment horizontal="left"/>
    </xf>
    <xf borderId="0" fillId="0" fontId="14" numFmtId="0" xfId="0" applyAlignment="1" applyFont="1">
      <alignment horizontal="center"/>
    </xf>
    <xf borderId="0" fillId="0" fontId="14" numFmtId="0" xfId="0" applyAlignment="1" applyFont="1">
      <alignment horizontal="right"/>
    </xf>
    <xf borderId="0" fillId="0" fontId="14" numFmtId="164" xfId="0" applyAlignment="1" applyFont="1" applyNumberFormat="1">
      <alignment horizontal="right"/>
    </xf>
    <xf borderId="0" fillId="0" fontId="14" numFmtId="166" xfId="0" applyAlignment="1" applyFont="1" applyNumberFormat="1">
      <alignment horizontal="right"/>
    </xf>
    <xf borderId="0" fillId="0" fontId="14" numFmtId="0" xfId="0" applyFont="1"/>
    <xf borderId="0" fillId="0" fontId="13" numFmtId="0" xfId="0" applyAlignment="1" applyFont="1">
      <alignment vertical="bottom"/>
    </xf>
    <xf borderId="0" fillId="0" fontId="13" numFmtId="0" xfId="0" applyAlignment="1" applyFont="1">
      <alignment horizontal="right" vertical="bottom"/>
    </xf>
    <xf borderId="0" fillId="0" fontId="13" numFmtId="2" xfId="0" applyAlignment="1" applyFont="1" applyNumberFormat="1">
      <alignment horizontal="right" vertical="bottom"/>
    </xf>
    <xf borderId="6" fillId="0" fontId="7" numFmtId="10" xfId="0" applyAlignment="1" applyBorder="1" applyFont="1" applyNumberFormat="1">
      <alignment horizontal="center"/>
    </xf>
    <xf borderId="0" fillId="0" fontId="7" numFmtId="0" xfId="0" applyAlignment="1" applyFont="1">
      <alignment horizontal="left"/>
    </xf>
    <xf borderId="0" fillId="0" fontId="15" numFmtId="0" xfId="0" applyAlignment="1" applyFont="1">
      <alignment vertical="bottom"/>
    </xf>
    <xf borderId="0" fillId="0" fontId="16" numFmtId="0" xfId="0" applyAlignment="1" applyFont="1">
      <alignment horizontal="right" vertical="bottom"/>
    </xf>
    <xf borderId="0" fillId="0" fontId="13" numFmtId="167" xfId="0" applyAlignment="1" applyFont="1" applyNumberFormat="1">
      <alignment horizontal="right" vertical="bottom"/>
    </xf>
    <xf borderId="0" fillId="0" fontId="7" numFmtId="0" xfId="0" applyFont="1"/>
    <xf borderId="0" fillId="0" fontId="17" numFmtId="0" xfId="0" applyAlignment="1" applyFont="1">
      <alignment horizontal="left"/>
    </xf>
    <xf borderId="0" fillId="0" fontId="18" numFmtId="0" xfId="0" applyAlignment="1" applyFont="1">
      <alignment shrinkToFit="0" vertical="bottom" wrapText="0"/>
    </xf>
    <xf borderId="0" fillId="0" fontId="19" numFmtId="0" xfId="0" applyAlignment="1" applyFont="1">
      <alignment vertical="bottom"/>
    </xf>
    <xf borderId="0" fillId="0" fontId="19" numFmtId="0" xfId="0" applyAlignment="1" applyFont="1">
      <alignment horizontal="right" vertical="bottom"/>
    </xf>
    <xf borderId="0" fillId="0" fontId="18" numFmtId="167" xfId="0" applyAlignment="1" applyFont="1" applyNumberFormat="1">
      <alignment horizontal="right" vertical="bottom"/>
    </xf>
    <xf borderId="0" fillId="0" fontId="17" numFmtId="4" xfId="0" applyAlignment="1" applyFont="1" applyNumberFormat="1">
      <alignment horizontal="right"/>
    </xf>
    <xf borderId="0" fillId="0" fontId="17" numFmtId="0" xfId="0" applyFont="1"/>
    <xf borderId="0" fillId="0" fontId="15" numFmtId="0" xfId="0" applyAlignment="1" applyFont="1">
      <alignment horizontal="right" vertical="bottom"/>
    </xf>
    <xf borderId="0" fillId="0" fontId="7" numFmtId="4" xfId="0" applyAlignment="1" applyFont="1" applyNumberFormat="1">
      <alignment horizontal="right"/>
    </xf>
    <xf borderId="0" fillId="0" fontId="13" numFmtId="10" xfId="0" applyAlignment="1" applyFont="1" applyNumberFormat="1">
      <alignment horizontal="right" vertical="bottom"/>
    </xf>
    <xf borderId="0" fillId="0" fontId="18" numFmtId="0" xfId="0" applyAlignment="1" applyFont="1">
      <alignment vertical="bottom"/>
    </xf>
    <xf borderId="0" fillId="0" fontId="2" numFmtId="0" xfId="0" applyAlignment="1" applyFont="1">
      <alignment horizontal="left"/>
    </xf>
    <xf borderId="0" fillId="0" fontId="20" numFmtId="0" xfId="0" applyAlignment="1" applyFont="1">
      <alignment vertical="bottom"/>
    </xf>
    <xf borderId="0" fillId="0" fontId="21" numFmtId="0" xfId="0" applyAlignment="1" applyFont="1">
      <alignment horizontal="right" vertical="bottom"/>
    </xf>
    <xf borderId="0" fillId="0" fontId="13" numFmtId="167" xfId="0" applyAlignment="1" applyFont="1" applyNumberFormat="1">
      <alignment vertical="bottom"/>
    </xf>
    <xf borderId="0" fillId="0" fontId="2" numFmtId="0" xfId="0" applyFont="1"/>
    <xf borderId="0" fillId="0" fontId="13" numFmtId="10" xfId="0" applyAlignment="1" applyFont="1" applyNumberFormat="1">
      <alignment vertical="bottom"/>
    </xf>
    <xf borderId="0" fillId="0" fontId="22" numFmtId="0" xfId="0" applyAlignment="1" applyFont="1">
      <alignment horizontal="left"/>
    </xf>
    <xf borderId="0" fillId="0" fontId="23" numFmtId="167" xfId="0" applyAlignment="1" applyFont="1" applyNumberFormat="1">
      <alignment horizontal="right" vertical="bottom"/>
    </xf>
    <xf borderId="0" fillId="0" fontId="1" numFmtId="168" xfId="0" applyAlignment="1" applyFont="1" applyNumberFormat="1">
      <alignment horizontal="center"/>
    </xf>
    <xf borderId="0" fillId="0" fontId="1" numFmtId="165" xfId="0" applyAlignment="1" applyFont="1" applyNumberFormat="1">
      <alignment horizontal="right"/>
    </xf>
    <xf borderId="0" fillId="0" fontId="24" numFmtId="0" xfId="0" applyAlignment="1" applyFont="1">
      <alignment horizontal="left" vertical="center"/>
    </xf>
    <xf borderId="0" fillId="0" fontId="25" numFmtId="0" xfId="0" applyAlignment="1" applyFont="1">
      <alignment horizontal="center" vertical="center"/>
    </xf>
    <xf borderId="0" fillId="0" fontId="1" numFmtId="168" xfId="0" applyAlignment="1" applyFont="1" applyNumberFormat="1">
      <alignment horizontal="center" vertical="center"/>
    </xf>
    <xf borderId="0" fillId="0" fontId="24" numFmtId="165" xfId="0" applyAlignment="1" applyFont="1" applyNumberFormat="1">
      <alignment horizontal="right" vertical="center"/>
    </xf>
    <xf borderId="0" fillId="0" fontId="6" numFmtId="0" xfId="0" applyAlignment="1" applyFont="1">
      <alignment horizontal="center" vertical="center"/>
    </xf>
    <xf borderId="0" fillId="0" fontId="24" numFmtId="0" xfId="0" applyAlignment="1" applyFont="1">
      <alignment horizontal="left"/>
    </xf>
    <xf borderId="0" fillId="0" fontId="24" numFmtId="0" xfId="0" applyAlignment="1" applyFont="1">
      <alignment horizontal="center"/>
    </xf>
    <xf borderId="0" fillId="0" fontId="24" numFmtId="10" xfId="0" applyAlignment="1" applyFont="1" applyNumberFormat="1">
      <alignment horizontal="center"/>
    </xf>
    <xf borderId="0" fillId="0" fontId="22" numFmtId="10" xfId="0" applyAlignment="1" applyFont="1" applyNumberFormat="1">
      <alignment horizontal="right"/>
    </xf>
    <xf borderId="0" fillId="0" fontId="1" numFmtId="168" xfId="0" applyAlignment="1" applyFont="1" applyNumberFormat="1">
      <alignment horizontal="right"/>
    </xf>
    <xf borderId="0" fillId="0" fontId="6" numFmtId="164" xfId="0" applyAlignment="1" applyFont="1" applyNumberFormat="1">
      <alignment horizontal="left"/>
    </xf>
    <xf borderId="0" fillId="0" fontId="13" numFmtId="164" xfId="0" applyAlignment="1" applyFont="1" applyNumberFormat="1">
      <alignment shrinkToFit="0" vertical="bottom" wrapText="0"/>
    </xf>
    <xf borderId="0" fillId="0" fontId="13" numFmtId="164" xfId="0" applyAlignment="1" applyFont="1" applyNumberFormat="1">
      <alignment vertical="bottom"/>
    </xf>
    <xf borderId="0" fillId="0" fontId="6" numFmtId="164" xfId="0" applyAlignment="1" applyFont="1" applyNumberFormat="1">
      <alignment horizontal="center"/>
    </xf>
    <xf borderId="0" fillId="0" fontId="26" numFmtId="169" xfId="0" applyAlignment="1" applyFont="1" applyNumberFormat="1">
      <alignment horizontal="center"/>
    </xf>
    <xf borderId="0" fillId="0" fontId="27" numFmtId="165" xfId="0" applyAlignment="1" applyFont="1" applyNumberFormat="1">
      <alignment horizontal="right" vertical="bottom"/>
    </xf>
    <xf borderId="0" fillId="0" fontId="26" numFmtId="4" xfId="0" applyAlignment="1" applyFont="1" applyNumberFormat="1">
      <alignment horizontal="right"/>
    </xf>
    <xf borderId="0" fillId="0" fontId="6" numFmtId="164" xfId="0" applyFont="1" applyNumberFormat="1"/>
    <xf borderId="0" fillId="0" fontId="13" numFmtId="0" xfId="0" applyAlignment="1" applyFont="1">
      <alignment shrinkToFit="0" vertical="bottom" wrapText="0"/>
    </xf>
    <xf borderId="0" fillId="0" fontId="6" numFmtId="0" xfId="0" applyAlignment="1" applyFont="1">
      <alignment horizontal="center"/>
    </xf>
    <xf borderId="0" fillId="0" fontId="26" numFmtId="165" xfId="0" applyAlignment="1" applyFont="1" applyNumberFormat="1">
      <alignment horizontal="right"/>
    </xf>
    <xf borderId="0" fillId="0" fontId="13" numFmtId="165" xfId="0" applyAlignment="1" applyFont="1" applyNumberFormat="1">
      <alignment horizontal="right" vertical="bottom"/>
    </xf>
    <xf borderId="0" fillId="0" fontId="6" numFmtId="0" xfId="0" applyAlignment="1" applyFont="1">
      <alignment horizontal="left"/>
    </xf>
    <xf borderId="8" fillId="0" fontId="7" numFmtId="10" xfId="0" applyAlignment="1" applyBorder="1" applyFont="1" applyNumberFormat="1">
      <alignment horizontal="center"/>
    </xf>
    <xf borderId="0" fillId="0" fontId="7" numFmtId="165" xfId="0" applyAlignment="1" applyFont="1" applyNumberFormat="1">
      <alignment horizontal="left"/>
    </xf>
    <xf borderId="0" fillId="0" fontId="7" numFmtId="165" xfId="0" applyAlignment="1" applyFont="1" applyNumberFormat="1">
      <alignment horizontal="center"/>
    </xf>
    <xf borderId="0" fillId="0" fontId="7" numFmtId="165" xfId="0" applyAlignment="1" applyFont="1" applyNumberFormat="1">
      <alignment horizontal="right"/>
    </xf>
    <xf borderId="0" fillId="0" fontId="13" numFmtId="165" xfId="0" applyFont="1" applyNumberFormat="1"/>
    <xf borderId="6" fillId="0" fontId="7" numFmtId="165" xfId="0" applyAlignment="1" applyBorder="1" applyFont="1" applyNumberFormat="1">
      <alignment horizontal="center"/>
    </xf>
    <xf borderId="0" fillId="0" fontId="1" numFmtId="167" xfId="0" applyAlignment="1" applyFont="1" applyNumberFormat="1">
      <alignment horizontal="right"/>
    </xf>
    <xf borderId="0" fillId="0" fontId="22" numFmtId="165" xfId="0" applyAlignment="1" applyFont="1" applyNumberFormat="1">
      <alignment horizontal="left"/>
    </xf>
    <xf borderId="9" fillId="0" fontId="22" numFmtId="165" xfId="0" applyAlignment="1" applyBorder="1" applyFont="1" applyNumberFormat="1">
      <alignment horizontal="left"/>
    </xf>
    <xf borderId="9" fillId="0" fontId="28" numFmtId="165" xfId="0" applyAlignment="1" applyBorder="1" applyFont="1" applyNumberFormat="1">
      <alignment horizontal="left"/>
    </xf>
    <xf borderId="9" fillId="0" fontId="28" numFmtId="165" xfId="0" applyAlignment="1" applyBorder="1" applyFont="1" applyNumberFormat="1">
      <alignment horizontal="center"/>
    </xf>
    <xf borderId="9" fillId="0" fontId="29" numFmtId="165" xfId="0" applyAlignment="1" applyBorder="1" applyFont="1" applyNumberFormat="1">
      <alignment horizontal="center"/>
    </xf>
    <xf borderId="9" fillId="0" fontId="29" numFmtId="165" xfId="0" applyAlignment="1" applyBorder="1" applyFont="1" applyNumberFormat="1">
      <alignment horizontal="right"/>
    </xf>
    <xf borderId="0" fillId="0" fontId="24" numFmtId="10" xfId="0" applyAlignment="1" applyFont="1" applyNumberFormat="1">
      <alignment horizontal="right"/>
    </xf>
    <xf borderId="0" fillId="0" fontId="28" numFmtId="165" xfId="0" applyAlignment="1" applyFont="1" applyNumberFormat="1">
      <alignment horizontal="left"/>
    </xf>
    <xf borderId="0" fillId="0" fontId="28" numFmtId="165" xfId="0" applyAlignment="1" applyFont="1" applyNumberFormat="1">
      <alignment horizontal="center"/>
    </xf>
    <xf borderId="0" fillId="0" fontId="28" numFmtId="165" xfId="0" applyAlignment="1" applyFont="1" applyNumberFormat="1">
      <alignment horizontal="right"/>
    </xf>
    <xf borderId="6" fillId="0" fontId="12" numFmtId="165" xfId="0" applyAlignment="1" applyBorder="1" applyFont="1" applyNumberFormat="1">
      <alignment horizontal="center"/>
    </xf>
    <xf borderId="10" fillId="0" fontId="24" numFmtId="0" xfId="0" applyBorder="1" applyFont="1"/>
    <xf borderId="10" fillId="0" fontId="24" numFmtId="0" xfId="0" applyAlignment="1" applyBorder="1" applyFont="1">
      <alignment horizontal="center"/>
    </xf>
    <xf borderId="10" fillId="0" fontId="24" numFmtId="10" xfId="0" applyAlignment="1" applyBorder="1" applyFont="1" applyNumberFormat="1">
      <alignment horizontal="right"/>
    </xf>
    <xf borderId="0" fillId="0" fontId="26" numFmtId="169" xfId="0" applyAlignment="1" applyFont="1" applyNumberFormat="1">
      <alignment horizontal="right"/>
    </xf>
    <xf borderId="0" fillId="0" fontId="26" numFmtId="165" xfId="0" applyAlignment="1" applyFont="1" applyNumberFormat="1">
      <alignment horizontal="right" vertical="center"/>
    </xf>
    <xf borderId="0" fillId="0" fontId="30" numFmtId="165" xfId="0" applyAlignment="1" applyFont="1" applyNumberFormat="1">
      <alignment horizontal="right"/>
    </xf>
    <xf borderId="0" fillId="0" fontId="27" numFmtId="165" xfId="0" applyAlignment="1" applyFont="1" applyNumberFormat="1">
      <alignment horizontal="right"/>
    </xf>
    <xf borderId="0" fillId="5" fontId="30" numFmtId="165" xfId="0" applyAlignment="1" applyFill="1" applyFont="1" applyNumberFormat="1">
      <alignment horizontal="right"/>
    </xf>
    <xf borderId="0" fillId="0" fontId="27" numFmtId="170" xfId="0" applyAlignment="1" applyFont="1" applyNumberFormat="1">
      <alignment horizontal="right" vertical="bottom"/>
    </xf>
    <xf borderId="0" fillId="5" fontId="26" numFmtId="168" xfId="0" applyAlignment="1" applyFont="1" applyNumberFormat="1">
      <alignment horizontal="right"/>
    </xf>
    <xf borderId="0" fillId="0" fontId="13" numFmtId="168" xfId="0" applyFont="1" applyNumberFormat="1"/>
    <xf borderId="0" fillId="0" fontId="24" numFmtId="165" xfId="0" applyAlignment="1" applyFont="1" applyNumberFormat="1">
      <alignment horizontal="left"/>
    </xf>
    <xf borderId="0" fillId="0" fontId="24" numFmtId="165" xfId="0" applyAlignment="1" applyFont="1" applyNumberFormat="1">
      <alignment horizontal="center"/>
    </xf>
    <xf borderId="0" fillId="0" fontId="24" numFmtId="165" xfId="0" applyAlignment="1" applyFont="1" applyNumberFormat="1">
      <alignment horizontal="right"/>
    </xf>
    <xf borderId="0" fillId="0" fontId="1" numFmtId="165" xfId="0" applyAlignment="1" applyFont="1" applyNumberFormat="1">
      <alignment horizontal="left"/>
    </xf>
    <xf borderId="0" fillId="0" fontId="1" numFmtId="165" xfId="0" applyAlignment="1" applyFont="1" applyNumberFormat="1">
      <alignment horizontal="center"/>
    </xf>
    <xf borderId="0" fillId="0" fontId="6" numFmtId="165" xfId="0" applyAlignment="1" applyFont="1" applyNumberFormat="1">
      <alignment horizontal="left"/>
    </xf>
    <xf borderId="0" fillId="0" fontId="6" numFmtId="165" xfId="0" applyAlignment="1" applyFont="1" applyNumberFormat="1">
      <alignment horizontal="center"/>
    </xf>
    <xf borderId="0" fillId="0" fontId="26" numFmtId="168" xfId="0" applyAlignment="1" applyFont="1" applyNumberFormat="1">
      <alignment horizontal="right"/>
    </xf>
    <xf borderId="0" fillId="0" fontId="6" numFmtId="165" xfId="0" applyFont="1" applyNumberFormat="1"/>
    <xf borderId="0" fillId="0" fontId="12" numFmtId="165" xfId="0" applyAlignment="1" applyFont="1" applyNumberFormat="1">
      <alignment horizontal="left"/>
    </xf>
    <xf borderId="0" fillId="0" fontId="12" numFmtId="165" xfId="0" applyAlignment="1" applyFont="1" applyNumberFormat="1">
      <alignment horizontal="center"/>
    </xf>
    <xf borderId="0" fillId="0" fontId="31" numFmtId="165" xfId="0" applyFont="1" applyNumberFormat="1"/>
    <xf borderId="0" fillId="6" fontId="32" numFmtId="0" xfId="0" applyAlignment="1" applyFill="1" applyFont="1">
      <alignment horizontal="right" shrinkToFit="0" wrapText="0"/>
    </xf>
    <xf borderId="0" fillId="0" fontId="13" numFmtId="0" xfId="0" applyFont="1"/>
    <xf borderId="0" fillId="0" fontId="13" numFmtId="2" xfId="0" applyFont="1" applyNumberFormat="1"/>
    <xf borderId="0" fillId="0" fontId="24" numFmtId="10" xfId="0" applyAlignment="1" applyFont="1" applyNumberFormat="1">
      <alignment horizontal="right" readingOrder="0"/>
    </xf>
    <xf borderId="0" fillId="0" fontId="33" numFmtId="0" xfId="0" applyFont="1"/>
    <xf borderId="0" fillId="6" fontId="32" numFmtId="165" xfId="0" applyAlignment="1" applyFont="1" applyNumberFormat="1">
      <alignment horizontal="right" shrinkToFit="0" wrapText="0"/>
    </xf>
    <xf borderId="0" fillId="0" fontId="33" numFmtId="165" xfId="0" applyFont="1" applyNumberFormat="1"/>
    <xf borderId="11" fillId="0" fontId="12" numFmtId="165" xfId="0" applyAlignment="1" applyBorder="1" applyFont="1" applyNumberFormat="1">
      <alignment horizontal="center"/>
    </xf>
    <xf borderId="12" fillId="0" fontId="9" numFmtId="0" xfId="0" applyBorder="1" applyFont="1"/>
    <xf borderId="0" fillId="7" fontId="34" numFmtId="0" xfId="0" applyAlignment="1" applyFill="1" applyFont="1">
      <alignment horizontal="left"/>
    </xf>
    <xf borderId="1" fillId="7" fontId="34"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0" fillId="0" fontId="1" numFmtId="10" xfId="0" applyAlignment="1" applyFont="1" applyNumberFormat="1">
      <alignment horizontal="center"/>
    </xf>
    <xf borderId="0" fillId="0" fontId="1" numFmtId="9" xfId="0" applyAlignment="1" applyFont="1" applyNumberFormat="1">
      <alignment horizontal="right"/>
    </xf>
    <xf borderId="0" fillId="0" fontId="35" numFmtId="0" xfId="0" applyAlignment="1" applyFont="1">
      <alignment horizontal="center"/>
    </xf>
    <xf borderId="0" fillId="3" fontId="35" numFmtId="0" xfId="0" applyAlignment="1" applyFont="1">
      <alignment horizontal="center"/>
    </xf>
    <xf borderId="2" fillId="3" fontId="35" numFmtId="0" xfId="0" applyAlignment="1" applyBorder="1" applyFont="1">
      <alignment horizontal="center"/>
    </xf>
    <xf borderId="0" fillId="2" fontId="24" numFmtId="0" xfId="0" applyAlignment="1" applyFont="1">
      <alignment horizontal="left"/>
    </xf>
    <xf borderId="13" fillId="2" fontId="24" numFmtId="0" xfId="0" applyAlignment="1" applyBorder="1" applyFont="1">
      <alignment horizontal="left"/>
    </xf>
    <xf borderId="13" fillId="2" fontId="24" numFmtId="0" xfId="0" applyAlignment="1" applyBorder="1" applyFont="1">
      <alignment horizontal="center"/>
    </xf>
    <xf borderId="14" fillId="0" fontId="1" numFmtId="0" xfId="0" applyAlignment="1" applyBorder="1" applyFont="1">
      <alignment horizontal="left"/>
    </xf>
    <xf borderId="15" fillId="0" fontId="1" numFmtId="0" xfId="0" applyAlignment="1" applyBorder="1" applyFont="1">
      <alignment horizontal="left"/>
    </xf>
    <xf borderId="15" fillId="0" fontId="1" numFmtId="0" xfId="0" applyAlignment="1" applyBorder="1" applyFont="1">
      <alignment horizontal="center"/>
    </xf>
    <xf borderId="15" fillId="0" fontId="32" numFmtId="171" xfId="0" applyAlignment="1" applyBorder="1" applyFont="1" applyNumberFormat="1">
      <alignment horizontal="center"/>
    </xf>
    <xf borderId="15" fillId="0" fontId="36" numFmtId="171" xfId="0" applyAlignment="1" applyBorder="1" applyFont="1" applyNumberFormat="1">
      <alignment horizontal="right" vertical="bottom"/>
    </xf>
    <xf borderId="15" fillId="0" fontId="13" numFmtId="165" xfId="0" applyAlignment="1" applyBorder="1" applyFont="1" applyNumberFormat="1">
      <alignment horizontal="right" vertical="bottom"/>
    </xf>
    <xf borderId="16" fillId="8" fontId="1" numFmtId="165" xfId="0" applyAlignment="1" applyBorder="1" applyFill="1" applyFont="1" applyNumberFormat="1">
      <alignment horizontal="right"/>
    </xf>
    <xf borderId="17" fillId="8" fontId="1" numFmtId="165" xfId="0" applyAlignment="1" applyBorder="1" applyFont="1" applyNumberFormat="1">
      <alignment horizontal="right"/>
    </xf>
    <xf borderId="0" fillId="0" fontId="2" numFmtId="0" xfId="0" applyAlignment="1" applyFont="1">
      <alignment horizontal="center"/>
    </xf>
    <xf borderId="1" fillId="6" fontId="37" numFmtId="171" xfId="0" applyAlignment="1" applyBorder="1" applyFont="1" applyNumberFormat="1">
      <alignment horizontal="center"/>
    </xf>
    <xf borderId="0" fillId="6" fontId="38" numFmtId="171" xfId="0" applyAlignment="1" applyFont="1" applyNumberFormat="1">
      <alignment horizontal="right" vertical="bottom"/>
    </xf>
    <xf borderId="0" fillId="0" fontId="21" numFmtId="165" xfId="0" applyAlignment="1" applyFont="1" applyNumberFormat="1">
      <alignment horizontal="right" vertical="bottom"/>
    </xf>
    <xf borderId="0" fillId="0" fontId="6" numFmtId="4" xfId="0" applyAlignment="1" applyFont="1" applyNumberFormat="1">
      <alignment horizontal="right"/>
    </xf>
    <xf borderId="0" fillId="6" fontId="2" numFmtId="0" xfId="0" applyAlignment="1" applyFont="1">
      <alignment horizontal="left"/>
    </xf>
    <xf borderId="1" fillId="6" fontId="2" numFmtId="0" xfId="0" applyAlignment="1" applyBorder="1" applyFont="1">
      <alignment horizontal="left"/>
    </xf>
    <xf borderId="1" fillId="6" fontId="2" numFmtId="0" xfId="0" applyAlignment="1" applyBorder="1" applyFont="1">
      <alignment horizontal="center"/>
    </xf>
    <xf borderId="1" fillId="6" fontId="26" numFmtId="4" xfId="0" applyAlignment="1" applyBorder="1" applyFont="1" applyNumberFormat="1">
      <alignment horizontal="right"/>
    </xf>
    <xf borderId="1" fillId="6" fontId="6" numFmtId="0" xfId="0" applyBorder="1" applyFont="1"/>
    <xf borderId="0" fillId="6" fontId="26" numFmtId="0" xfId="0" applyAlignment="1" applyFont="1">
      <alignment horizontal="left" shrinkToFit="0" wrapText="0"/>
    </xf>
    <xf borderId="0" fillId="0" fontId="1" numFmtId="171" xfId="0" applyAlignment="1" applyFont="1" applyNumberFormat="1">
      <alignment horizontal="center"/>
    </xf>
    <xf borderId="1" fillId="6" fontId="26" numFmtId="171" xfId="0" applyAlignment="1" applyBorder="1" applyFont="1" applyNumberFormat="1">
      <alignment horizontal="center"/>
    </xf>
    <xf borderId="0" fillId="6" fontId="27" numFmtId="171" xfId="0" applyAlignment="1" applyFont="1" applyNumberFormat="1">
      <alignment horizontal="right" vertical="bottom"/>
    </xf>
    <xf borderId="0" fillId="0" fontId="1" numFmtId="4" xfId="0" applyAlignment="1" applyFont="1" applyNumberFormat="1">
      <alignment horizontal="right"/>
    </xf>
    <xf borderId="0" fillId="0" fontId="39" numFmtId="0" xfId="0" applyAlignment="1" applyFont="1">
      <alignment horizontal="left"/>
    </xf>
    <xf borderId="0" fillId="0" fontId="39" numFmtId="0" xfId="0" applyAlignment="1" applyFont="1">
      <alignment horizontal="center"/>
    </xf>
    <xf borderId="0" fillId="0" fontId="39" numFmtId="171" xfId="0" applyAlignment="1" applyFont="1" applyNumberFormat="1">
      <alignment horizontal="center"/>
    </xf>
    <xf borderId="0" fillId="0" fontId="39" numFmtId="10" xfId="0" applyAlignment="1" applyFont="1" applyNumberFormat="1">
      <alignment horizontal="right"/>
    </xf>
    <xf borderId="0" fillId="0" fontId="40" numFmtId="0" xfId="0" applyFont="1"/>
    <xf borderId="0" fillId="0" fontId="1" numFmtId="171" xfId="0" applyAlignment="1" applyFont="1" applyNumberFormat="1">
      <alignment horizontal="right"/>
    </xf>
    <xf borderId="18" fillId="0" fontId="1" numFmtId="165" xfId="0" applyAlignment="1" applyBorder="1" applyFont="1" applyNumberFormat="1">
      <alignment horizontal="left"/>
    </xf>
    <xf borderId="19" fillId="0" fontId="1" numFmtId="165" xfId="0" applyAlignment="1" applyBorder="1" applyFont="1" applyNumberFormat="1">
      <alignment horizontal="left"/>
    </xf>
    <xf borderId="19" fillId="0" fontId="1" numFmtId="165" xfId="0" applyAlignment="1" applyBorder="1" applyFont="1" applyNumberFormat="1">
      <alignment horizontal="center"/>
    </xf>
    <xf borderId="19" fillId="0" fontId="13" numFmtId="165" xfId="0" applyAlignment="1" applyBorder="1" applyFont="1" applyNumberFormat="1">
      <alignment horizontal="right" vertical="bottom"/>
    </xf>
    <xf borderId="19" fillId="0" fontId="1" numFmtId="165" xfId="0" applyAlignment="1" applyBorder="1" applyFont="1" applyNumberFormat="1">
      <alignment horizontal="right"/>
    </xf>
    <xf borderId="20" fillId="0" fontId="1" numFmtId="165" xfId="0" applyAlignment="1" applyBorder="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3" numFmtId="165" xfId="0" applyAlignment="1" applyBorder="1" applyFont="1" applyNumberFormat="1">
      <alignment horizontal="right" vertical="bottom"/>
    </xf>
    <xf borderId="22" fillId="9" fontId="1" numFmtId="165" xfId="0" applyAlignment="1" applyBorder="1" applyFill="1" applyFont="1" applyNumberFormat="1">
      <alignment horizontal="right"/>
    </xf>
    <xf borderId="23" fillId="9" fontId="1" numFmtId="165" xfId="0" applyAlignment="1" applyBorder="1" applyFont="1" applyNumberFormat="1">
      <alignment horizontal="right"/>
    </xf>
    <xf borderId="22" fillId="0" fontId="1" numFmtId="165" xfId="0" applyAlignment="1" applyBorder="1" applyFont="1" applyNumberFormat="1">
      <alignment horizontal="right"/>
    </xf>
    <xf borderId="18" fillId="0" fontId="24" numFmtId="165" xfId="0" applyAlignment="1" applyBorder="1" applyFont="1" applyNumberFormat="1">
      <alignment horizontal="left"/>
    </xf>
    <xf borderId="19" fillId="0" fontId="24" numFmtId="165" xfId="0" applyAlignment="1" applyBorder="1" applyFont="1" applyNumberFormat="1">
      <alignment horizontal="left"/>
    </xf>
    <xf borderId="19" fillId="0" fontId="24" numFmtId="165" xfId="0" applyAlignment="1" applyBorder="1" applyFont="1" applyNumberFormat="1">
      <alignment horizontal="center"/>
    </xf>
    <xf borderId="24" fillId="6" fontId="41" numFmtId="165" xfId="0" applyAlignment="1" applyBorder="1" applyFont="1" applyNumberFormat="1">
      <alignment horizontal="center"/>
    </xf>
    <xf borderId="19" fillId="6" fontId="42" numFmtId="165" xfId="0" applyAlignment="1" applyBorder="1" applyFont="1" applyNumberFormat="1">
      <alignment horizontal="right" vertical="bottom"/>
    </xf>
    <xf borderId="24" fillId="6" fontId="41" numFmtId="165" xfId="0" applyAlignment="1" applyBorder="1" applyFont="1" applyNumberFormat="1">
      <alignment horizontal="right"/>
    </xf>
    <xf borderId="25" fillId="6" fontId="41" numFmtId="165" xfId="0" applyAlignment="1" applyBorder="1" applyFont="1" applyNumberFormat="1">
      <alignment horizontal="right"/>
    </xf>
    <xf borderId="26" fillId="0" fontId="1" numFmtId="165" xfId="0" applyAlignment="1" applyBorder="1" applyFont="1" applyNumberFormat="1">
      <alignment horizontal="left"/>
    </xf>
    <xf borderId="0" fillId="0" fontId="30" numFmtId="165" xfId="0" applyAlignment="1" applyFont="1" applyNumberFormat="1">
      <alignment horizontal="center"/>
    </xf>
    <xf borderId="27" fillId="0" fontId="30" numFmtId="165" xfId="0" applyAlignment="1" applyBorder="1" applyFont="1" applyNumberFormat="1">
      <alignment horizontal="right"/>
    </xf>
    <xf borderId="0" fillId="0" fontId="1" numFmtId="165" xfId="0" applyFont="1" applyNumberFormat="1"/>
    <xf borderId="26" fillId="0" fontId="22" numFmtId="165" xfId="0" applyAlignment="1" applyBorder="1" applyFont="1" applyNumberFormat="1">
      <alignment horizontal="left"/>
    </xf>
    <xf borderId="0" fillId="0" fontId="22" numFmtId="165" xfId="0" applyAlignment="1" applyFont="1" applyNumberFormat="1">
      <alignment horizontal="center"/>
    </xf>
    <xf borderId="0" fillId="0" fontId="43" numFmtId="165" xfId="0" applyAlignment="1" applyFont="1" applyNumberFormat="1">
      <alignment horizontal="center"/>
    </xf>
    <xf borderId="0" fillId="0" fontId="44" numFmtId="165" xfId="0" applyAlignment="1" applyFont="1" applyNumberFormat="1">
      <alignment horizontal="right" vertical="bottom"/>
    </xf>
    <xf borderId="0" fillId="0" fontId="43" numFmtId="165" xfId="0" applyAlignment="1" applyFont="1" applyNumberFormat="1">
      <alignment horizontal="right"/>
    </xf>
    <xf borderId="27" fillId="0" fontId="43" numFmtId="165" xfId="0" applyAlignment="1" applyBorder="1" applyFont="1" applyNumberFormat="1">
      <alignment horizontal="right"/>
    </xf>
    <xf borderId="0" fillId="0" fontId="22" numFmtId="165" xfId="0" applyFont="1" applyNumberFormat="1"/>
    <xf borderId="21" fillId="0" fontId="24" numFmtId="0" xfId="0" applyAlignment="1" applyBorder="1" applyFont="1">
      <alignment horizontal="left"/>
    </xf>
    <xf borderId="22" fillId="0" fontId="24" numFmtId="0" xfId="0" applyAlignment="1" applyBorder="1" applyFont="1">
      <alignment horizontal="left"/>
    </xf>
    <xf borderId="22" fillId="0" fontId="24" numFmtId="0" xfId="0" applyAlignment="1" applyBorder="1" applyFont="1">
      <alignment horizontal="center"/>
    </xf>
    <xf borderId="22" fillId="0" fontId="24" numFmtId="171" xfId="0" applyAlignment="1" applyBorder="1" applyFont="1" applyNumberFormat="1">
      <alignment horizontal="center"/>
    </xf>
    <xf borderId="22" fillId="0" fontId="24" numFmtId="171" xfId="0" applyAlignment="1" applyBorder="1" applyFont="1" applyNumberFormat="1">
      <alignment horizontal="right"/>
    </xf>
    <xf borderId="22" fillId="0" fontId="24" numFmtId="10" xfId="0" applyAlignment="1" applyBorder="1" applyFont="1" applyNumberFormat="1">
      <alignment horizontal="right"/>
    </xf>
    <xf borderId="28" fillId="0" fontId="24" numFmtId="10" xfId="0" applyAlignment="1" applyBorder="1" applyFont="1" applyNumberFormat="1">
      <alignment horizontal="right"/>
    </xf>
    <xf borderId="18" fillId="0" fontId="24" numFmtId="0" xfId="0" applyAlignment="1" applyBorder="1" applyFont="1">
      <alignment horizontal="left"/>
    </xf>
    <xf borderId="19" fillId="0" fontId="24" numFmtId="0" xfId="0" applyAlignment="1" applyBorder="1" applyFont="1">
      <alignment horizontal="left"/>
    </xf>
    <xf borderId="19" fillId="0" fontId="24" numFmtId="0" xfId="0" applyAlignment="1" applyBorder="1" applyFont="1">
      <alignment horizontal="center"/>
    </xf>
    <xf borderId="19" fillId="0" fontId="24" numFmtId="171" xfId="0" applyAlignment="1" applyBorder="1" applyFont="1" applyNumberFormat="1">
      <alignment horizontal="center"/>
    </xf>
    <xf borderId="19" fillId="0" fontId="24" numFmtId="171" xfId="0" applyAlignment="1" applyBorder="1" applyFont="1" applyNumberFormat="1">
      <alignment horizontal="right"/>
    </xf>
    <xf borderId="19" fillId="0" fontId="24" numFmtId="165" xfId="0" applyAlignment="1" applyBorder="1" applyFont="1" applyNumberFormat="1">
      <alignment horizontal="right"/>
    </xf>
    <xf borderId="19" fillId="9" fontId="24" numFmtId="165" xfId="0" applyAlignment="1" applyBorder="1" applyFont="1" applyNumberFormat="1">
      <alignment horizontal="right"/>
    </xf>
    <xf borderId="20" fillId="9" fontId="24" numFmtId="165" xfId="0" applyAlignment="1" applyBorder="1" applyFont="1" applyNumberFormat="1">
      <alignment horizontal="right"/>
    </xf>
    <xf borderId="26" fillId="0" fontId="24" numFmtId="0" xfId="0" applyAlignment="1" applyBorder="1" applyFont="1">
      <alignment horizontal="left"/>
    </xf>
    <xf borderId="0" fillId="0" fontId="24" numFmtId="171" xfId="0" applyAlignment="1" applyFont="1" applyNumberFormat="1">
      <alignment horizontal="center"/>
    </xf>
    <xf borderId="0" fillId="0" fontId="24" numFmtId="171" xfId="0" applyAlignment="1" applyFont="1" applyNumberFormat="1">
      <alignment horizontal="right"/>
    </xf>
    <xf borderId="0" fillId="9" fontId="24" numFmtId="165" xfId="0" applyAlignment="1" applyFont="1" applyNumberFormat="1">
      <alignment horizontal="right"/>
    </xf>
    <xf borderId="7" fillId="9" fontId="24" numFmtId="165" xfId="0" applyAlignment="1" applyBorder="1" applyFont="1" applyNumberFormat="1">
      <alignment horizontal="right"/>
    </xf>
    <xf borderId="26" fillId="0" fontId="7" numFmtId="0" xfId="0" applyAlignment="1" applyBorder="1" applyFont="1">
      <alignment horizontal="left"/>
    </xf>
    <xf borderId="0" fillId="0" fontId="7" numFmtId="171" xfId="0" applyAlignment="1" applyFont="1" applyNumberFormat="1">
      <alignment horizontal="center"/>
    </xf>
    <xf borderId="0" fillId="0" fontId="7" numFmtId="10" xfId="0" applyAlignment="1" applyFont="1" applyNumberFormat="1">
      <alignment horizontal="right"/>
    </xf>
    <xf borderId="7" fillId="0" fontId="7" numFmtId="10" xfId="0" applyAlignment="1" applyBorder="1" applyFont="1" applyNumberFormat="1">
      <alignment horizontal="right"/>
    </xf>
    <xf borderId="0" fillId="0" fontId="16" numFmtId="0" xfId="0" applyFont="1"/>
    <xf borderId="21" fillId="0" fontId="12" numFmtId="0" xfId="0" applyAlignment="1" applyBorder="1" applyFont="1">
      <alignment horizontal="left"/>
    </xf>
    <xf borderId="22" fillId="0" fontId="12" numFmtId="0" xfId="0" applyAlignment="1" applyBorder="1" applyFont="1">
      <alignment horizontal="left"/>
    </xf>
    <xf borderId="22" fillId="0" fontId="12" numFmtId="0" xfId="0" applyAlignment="1" applyBorder="1" applyFont="1">
      <alignment horizontal="center"/>
    </xf>
    <xf borderId="22" fillId="0" fontId="12" numFmtId="171" xfId="0" applyAlignment="1" applyBorder="1" applyFont="1" applyNumberFormat="1">
      <alignment horizontal="center"/>
    </xf>
    <xf borderId="22" fillId="0" fontId="12" numFmtId="171" xfId="0" applyAlignment="1" applyBorder="1" applyFont="1" applyNumberFormat="1">
      <alignment horizontal="right"/>
    </xf>
    <xf borderId="22" fillId="0" fontId="12" numFmtId="165" xfId="0" applyAlignment="1" applyBorder="1" applyFont="1" applyNumberFormat="1">
      <alignment horizontal="right"/>
    </xf>
    <xf borderId="23" fillId="0" fontId="12" numFmtId="165" xfId="0" applyAlignment="1" applyBorder="1" applyFont="1" applyNumberFormat="1">
      <alignment horizontal="right"/>
    </xf>
    <xf borderId="0" fillId="0" fontId="10" numFmtId="0" xfId="0" applyFont="1"/>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72" xfId="0" applyAlignment="1" applyBorder="1" applyFont="1" applyNumberFormat="1">
      <alignment horizontal="center"/>
    </xf>
    <xf borderId="0" fillId="10" fontId="13" numFmtId="172" xfId="0" applyAlignment="1" applyFont="1" applyNumberFormat="1">
      <alignment horizontal="center" vertical="bottom"/>
    </xf>
    <xf borderId="1" fillId="10" fontId="1" numFmtId="10" xfId="0" applyAlignment="1" applyBorder="1" applyFont="1" applyNumberFormat="1">
      <alignment horizontal="center"/>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72" xfId="0" applyAlignment="1" applyBorder="1" applyFont="1" applyNumberFormat="1">
      <alignment horizontal="center"/>
    </xf>
    <xf borderId="0" fillId="0" fontId="1" numFmtId="172" xfId="0" applyAlignment="1" applyFont="1" applyNumberFormat="1">
      <alignment horizontal="center"/>
    </xf>
    <xf borderId="0" fillId="11" fontId="24" numFmtId="0" xfId="0" applyAlignment="1" applyFill="1" applyFont="1">
      <alignment horizontal="left"/>
    </xf>
    <xf borderId="1" fillId="11" fontId="24" numFmtId="0" xfId="0" applyAlignment="1" applyBorder="1" applyFont="1">
      <alignment horizontal="left"/>
    </xf>
    <xf borderId="1" fillId="11" fontId="24" numFmtId="0" xfId="0" applyAlignment="1" applyBorder="1" applyFont="1">
      <alignment horizontal="center"/>
    </xf>
    <xf borderId="1" fillId="11" fontId="24" numFmtId="173" xfId="0" applyAlignment="1" applyBorder="1" applyFont="1" applyNumberFormat="1">
      <alignment horizontal="center"/>
    </xf>
    <xf borderId="0" fillId="0" fontId="24" numFmtId="173" xfId="0" applyAlignment="1" applyFont="1" applyNumberFormat="1">
      <alignment horizontal="center"/>
    </xf>
    <xf borderId="0" fillId="0" fontId="24" numFmtId="174" xfId="0" applyAlignment="1" applyFont="1" applyNumberFormat="1">
      <alignment horizontal="center"/>
    </xf>
    <xf borderId="1" fillId="11" fontId="24" numFmtId="174" xfId="0" applyAlignment="1" applyBorder="1" applyFont="1" applyNumberFormat="1">
      <alignment horizontal="center"/>
    </xf>
    <xf borderId="0" fillId="0" fontId="13" numFmtId="10" xfId="0" applyFont="1" applyNumberFormat="1"/>
    <xf borderId="0" fillId="0" fontId="45" numFmtId="0" xfId="0" applyAlignment="1" applyFont="1">
      <alignment horizontal="center"/>
    </xf>
    <xf borderId="0" fillId="3" fontId="45" numFmtId="0" xfId="0" applyAlignment="1" applyFont="1">
      <alignment horizontal="center"/>
    </xf>
    <xf borderId="2" fillId="3" fontId="45" numFmtId="0" xfId="0" applyAlignment="1" applyBorder="1" applyFont="1">
      <alignment horizontal="center"/>
    </xf>
    <xf borderId="1" fillId="2" fontId="24" numFmtId="0" xfId="0" applyAlignment="1" applyBorder="1" applyFont="1">
      <alignment horizontal="left"/>
    </xf>
    <xf borderId="1" fillId="2" fontId="24" numFmtId="0" xfId="0" applyAlignment="1" applyBorder="1" applyFont="1">
      <alignment horizontal="center"/>
    </xf>
    <xf borderId="0" fillId="0" fontId="13" numFmtId="165" xfId="0" applyAlignment="1" applyFont="1" applyNumberFormat="1">
      <alignment horizontal="center" vertical="bottom"/>
    </xf>
    <xf borderId="1" fillId="6" fontId="26" numFmtId="165" xfId="0" applyAlignment="1" applyBorder="1" applyFont="1" applyNumberFormat="1">
      <alignment horizontal="center"/>
    </xf>
    <xf borderId="0" fillId="6" fontId="27" numFmtId="165" xfId="0" applyAlignment="1" applyFont="1" applyNumberFormat="1">
      <alignment horizontal="center" vertical="bottom"/>
    </xf>
    <xf borderId="0" fillId="6" fontId="27" numFmtId="165" xfId="0" applyAlignment="1" applyFont="1" applyNumberFormat="1">
      <alignment horizontal="right" vertical="bottom"/>
    </xf>
    <xf borderId="1" fillId="6" fontId="32" numFmtId="165" xfId="0" applyAlignment="1" applyBorder="1" applyFont="1" applyNumberFormat="1">
      <alignment horizontal="right"/>
    </xf>
    <xf borderId="0" fillId="0" fontId="46" numFmtId="165" xfId="0" applyAlignment="1" applyFont="1" applyNumberFormat="1">
      <alignment horizontal="right"/>
    </xf>
    <xf borderId="0" fillId="0" fontId="6" numFmtId="165" xfId="0" applyAlignment="1" applyFont="1" applyNumberFormat="1">
      <alignment horizontal="right"/>
    </xf>
    <xf borderId="0" fillId="6" fontId="6" numFmtId="165" xfId="0" applyAlignment="1" applyFont="1" applyNumberFormat="1">
      <alignment horizontal="left" shrinkToFit="0" wrapText="0"/>
    </xf>
    <xf borderId="0" fillId="6" fontId="47" numFmtId="165" xfId="0" applyAlignment="1" applyFont="1" applyNumberFormat="1">
      <alignment horizontal="right" shrinkToFit="0" wrapText="0"/>
    </xf>
    <xf borderId="0" fillId="0" fontId="48" numFmtId="165" xfId="0" applyAlignment="1" applyFont="1" applyNumberFormat="1">
      <alignment horizontal="center"/>
    </xf>
    <xf borderId="0" fillId="0" fontId="48" numFmtId="165" xfId="0" applyAlignment="1" applyFont="1" applyNumberFormat="1">
      <alignment horizontal="right"/>
    </xf>
    <xf borderId="0" fillId="0" fontId="49" numFmtId="165" xfId="0" applyAlignment="1" applyFont="1" applyNumberFormat="1">
      <alignment horizontal="right" vertical="bottom"/>
    </xf>
    <xf borderId="0" fillId="0" fontId="22" numFmtId="165" xfId="0" applyAlignment="1" applyFont="1" applyNumberFormat="1">
      <alignment horizontal="right"/>
    </xf>
    <xf borderId="0" fillId="0" fontId="50" numFmtId="165" xfId="0" applyAlignment="1" applyFont="1" applyNumberFormat="1">
      <alignment horizontal="right"/>
    </xf>
    <xf borderId="0" fillId="0" fontId="51" numFmtId="165" xfId="0" applyFont="1" applyNumberFormat="1"/>
    <xf borderId="0" fillId="0" fontId="41" numFmtId="165" xfId="0" applyAlignment="1" applyFont="1" applyNumberFormat="1">
      <alignment horizontal="center"/>
    </xf>
    <xf borderId="0" fillId="0" fontId="41" numFmtId="165" xfId="0" applyAlignment="1" applyFont="1" applyNumberFormat="1">
      <alignment horizontal="right"/>
    </xf>
    <xf borderId="0" fillId="0" fontId="52" numFmtId="165" xfId="0" applyAlignment="1" applyFont="1" applyNumberFormat="1">
      <alignment horizontal="right"/>
    </xf>
    <xf borderId="0" fillId="0" fontId="26" numFmtId="165" xfId="0" applyAlignment="1" applyFont="1" applyNumberFormat="1">
      <alignment horizontal="center"/>
    </xf>
    <xf borderId="0" fillId="6" fontId="32" numFmtId="165" xfId="0" applyAlignment="1" applyFont="1" applyNumberFormat="1">
      <alignment horizontal="left" shrinkToFit="0" wrapText="0"/>
    </xf>
    <xf borderId="0" fillId="0" fontId="1" numFmtId="164" xfId="0" applyAlignment="1" applyFont="1" applyNumberFormat="1">
      <alignment horizontal="center"/>
    </xf>
    <xf borderId="0" fillId="0" fontId="46" numFmtId="168" xfId="0" applyAlignment="1" applyFont="1" applyNumberFormat="1">
      <alignment horizontal="right"/>
    </xf>
    <xf borderId="0" fillId="9" fontId="46" numFmtId="165" xfId="0" applyAlignment="1" applyFont="1" applyNumberFormat="1">
      <alignment horizontal="right"/>
    </xf>
    <xf borderId="0" fillId="0" fontId="13" numFmtId="165" xfId="0" applyAlignment="1" applyFont="1" applyNumberFormat="1">
      <alignment vertical="bottom"/>
    </xf>
    <xf borderId="0" fillId="0" fontId="23" numFmtId="165" xfId="0" applyAlignment="1" applyFont="1" applyNumberFormat="1">
      <alignment shrinkToFit="0" vertical="bottom" wrapText="0"/>
    </xf>
    <xf borderId="0" fillId="0" fontId="13" numFmtId="171" xfId="0" applyAlignment="1" applyFont="1" applyNumberFormat="1">
      <alignment vertical="bottom"/>
    </xf>
    <xf borderId="0" fillId="0" fontId="23" numFmtId="171" xfId="0" applyAlignment="1" applyFont="1" applyNumberFormat="1">
      <alignment horizontal="center" vertical="bottom"/>
    </xf>
    <xf borderId="0" fillId="0" fontId="13" numFmtId="173" xfId="0" applyAlignment="1" applyFont="1" applyNumberFormat="1">
      <alignment vertical="bottom"/>
    </xf>
    <xf borderId="0" fillId="0" fontId="10" numFmtId="165" xfId="0" applyAlignment="1" applyFont="1" applyNumberFormat="1">
      <alignment shrinkToFit="0" vertical="bottom" wrapText="0"/>
    </xf>
    <xf borderId="0" fillId="0" fontId="10" numFmtId="171" xfId="0" applyAlignment="1" applyFont="1" applyNumberFormat="1">
      <alignment horizontal="center" vertical="bottom"/>
    </xf>
    <xf borderId="0" fillId="10" fontId="1" numFmtId="165" xfId="0" applyAlignment="1" applyFont="1" applyNumberFormat="1">
      <alignment horizontal="left"/>
    </xf>
    <xf borderId="1" fillId="10" fontId="1" numFmtId="165" xfId="0" applyAlignment="1" applyBorder="1" applyFont="1" applyNumberFormat="1">
      <alignment horizontal="left"/>
    </xf>
    <xf borderId="1" fillId="10" fontId="1" numFmtId="165" xfId="0" applyAlignment="1" applyBorder="1" applyFont="1" applyNumberFormat="1">
      <alignment horizontal="center"/>
    </xf>
    <xf borderId="1" fillId="10" fontId="1" numFmtId="165" xfId="0" applyAlignment="1" applyBorder="1" applyFont="1" applyNumberFormat="1">
      <alignment horizontal="right"/>
    </xf>
    <xf borderId="0" fillId="12" fontId="24" numFmtId="165" xfId="0" applyAlignment="1" applyFill="1" applyFont="1" applyNumberFormat="1">
      <alignment horizontal="left"/>
    </xf>
    <xf borderId="1" fillId="12" fontId="24" numFmtId="165" xfId="0" applyAlignment="1" applyBorder="1" applyFont="1" applyNumberFormat="1">
      <alignment horizontal="left"/>
    </xf>
    <xf borderId="1" fillId="12" fontId="24" numFmtId="165" xfId="0" applyAlignment="1" applyBorder="1" applyFont="1" applyNumberFormat="1">
      <alignment horizontal="center"/>
    </xf>
    <xf borderId="0" fillId="13" fontId="24" numFmtId="165" xfId="0" applyAlignment="1" applyFill="1" applyFont="1" applyNumberFormat="1">
      <alignment horizontal="right"/>
    </xf>
    <xf borderId="0" fillId="0" fontId="13" numFmtId="10" xfId="0" applyAlignment="1" applyFont="1" applyNumberFormat="1">
      <alignment horizontal="right"/>
    </xf>
    <xf borderId="0" fillId="0" fontId="1" numFmtId="2" xfId="0" applyAlignment="1" applyFont="1" applyNumberFormat="1">
      <alignment horizontal="right"/>
    </xf>
    <xf borderId="0" fillId="0" fontId="1" numFmtId="164" xfId="0" applyAlignment="1" applyFont="1" applyNumberFormat="1">
      <alignment horizontal="right"/>
    </xf>
    <xf borderId="0" fillId="7" fontId="53" numFmtId="0" xfId="0" applyAlignment="1" applyFont="1">
      <alignment horizontal="left"/>
    </xf>
    <xf borderId="1" fillId="7" fontId="53" numFmtId="0" xfId="0" applyAlignment="1" applyBorder="1" applyFont="1">
      <alignment horizontal="left"/>
    </xf>
    <xf borderId="1" fillId="10" fontId="1" numFmtId="9" xfId="0" applyAlignment="1" applyBorder="1" applyFont="1" applyNumberFormat="1">
      <alignment horizontal="center"/>
    </xf>
    <xf borderId="13" fillId="10" fontId="1" numFmtId="0" xfId="0" applyAlignment="1" applyBorder="1" applyFont="1">
      <alignment horizontal="left"/>
    </xf>
    <xf borderId="13" fillId="10" fontId="1" numFmtId="0" xfId="0" applyAlignment="1" applyBorder="1" applyFont="1">
      <alignment horizontal="center"/>
    </xf>
    <xf borderId="13" fillId="10" fontId="1" numFmtId="9" xfId="0" applyAlignment="1" applyBorder="1" applyFont="1" applyNumberFormat="1">
      <alignment horizontal="center"/>
    </xf>
    <xf borderId="13" fillId="10" fontId="1" numFmtId="10" xfId="0" applyAlignment="1" applyBorder="1" applyFont="1" applyNumberFormat="1">
      <alignment horizontal="center"/>
    </xf>
    <xf borderId="13" fillId="10" fontId="1" numFmtId="172" xfId="0" applyAlignment="1" applyBorder="1" applyFont="1" applyNumberFormat="1">
      <alignment horizontal="center"/>
    </xf>
    <xf borderId="29" fillId="10" fontId="1" numFmtId="0" xfId="0" applyAlignment="1" applyBorder="1" applyFont="1">
      <alignment horizontal="left"/>
    </xf>
    <xf borderId="29" fillId="10" fontId="1" numFmtId="0" xfId="0" applyAlignment="1" applyBorder="1" applyFont="1">
      <alignment horizontal="center"/>
    </xf>
    <xf borderId="29" fillId="10" fontId="1" numFmtId="172" xfId="0" applyAlignment="1" applyBorder="1" applyFont="1" applyNumberFormat="1">
      <alignment horizontal="center"/>
    </xf>
    <xf borderId="0" fillId="10" fontId="1" numFmtId="0" xfId="0" applyAlignment="1" applyFont="1">
      <alignment horizontal="center"/>
    </xf>
    <xf borderId="0" fillId="10" fontId="1" numFmtId="172" xfId="0" applyAlignment="1" applyFont="1" applyNumberFormat="1">
      <alignment horizontal="center"/>
    </xf>
    <xf borderId="30" fillId="10" fontId="1" numFmtId="0" xfId="0" applyAlignment="1" applyBorder="1" applyFont="1">
      <alignment horizontal="left"/>
    </xf>
    <xf borderId="30" fillId="10" fontId="1" numFmtId="0" xfId="0" applyAlignment="1" applyBorder="1" applyFont="1">
      <alignment horizontal="center"/>
    </xf>
    <xf borderId="30" fillId="10" fontId="1" numFmtId="172" xfId="0" applyAlignment="1" applyBorder="1" applyFont="1" applyNumberFormat="1">
      <alignment horizontal="center"/>
    </xf>
    <xf borderId="31" fillId="10" fontId="1" numFmtId="0" xfId="0" applyAlignment="1" applyBorder="1" applyFont="1">
      <alignment horizontal="left"/>
    </xf>
    <xf borderId="31" fillId="10" fontId="1" numFmtId="0" xfId="0" applyAlignment="1" applyBorder="1" applyFont="1">
      <alignment horizontal="center"/>
    </xf>
    <xf borderId="31" fillId="10" fontId="1" numFmtId="172" xfId="0" applyAlignment="1" applyBorder="1" applyFont="1" applyNumberFormat="1">
      <alignment horizontal="center"/>
    </xf>
    <xf borderId="31" fillId="10" fontId="1" numFmtId="9" xfId="0" applyAlignment="1" applyBorder="1" applyFont="1" applyNumberFormat="1">
      <alignment horizontal="center"/>
    </xf>
    <xf borderId="0" fillId="14" fontId="24" numFmtId="0" xfId="0" applyAlignment="1" applyFill="1" applyFont="1">
      <alignment horizontal="center"/>
    </xf>
    <xf borderId="2" fillId="14" fontId="24" numFmtId="0" xfId="0" applyAlignment="1" applyBorder="1" applyFont="1">
      <alignment horizontal="center"/>
    </xf>
    <xf borderId="0" fillId="0" fontId="54" numFmtId="0" xfId="0" applyAlignment="1" applyFont="1">
      <alignment horizontal="center"/>
    </xf>
    <xf borderId="32" fillId="3" fontId="54" numFmtId="0" xfId="0" applyAlignment="1" applyBorder="1" applyFont="1">
      <alignment horizontal="center"/>
    </xf>
    <xf borderId="33" fillId="0" fontId="9" numFmtId="0" xfId="0" applyBorder="1" applyFont="1"/>
    <xf borderId="34" fillId="0" fontId="9" numFmtId="0" xfId="0" applyBorder="1" applyFont="1"/>
    <xf borderId="2" fillId="12" fontId="24" numFmtId="0" xfId="0" applyAlignment="1" applyBorder="1" applyFont="1">
      <alignment horizontal="center"/>
    </xf>
    <xf borderId="0" fillId="12" fontId="24" numFmtId="0" xfId="0" applyAlignment="1" applyFont="1">
      <alignment horizontal="center"/>
    </xf>
    <xf borderId="26" fillId="0" fontId="1" numFmtId="0" xfId="0" applyAlignment="1" applyBorder="1" applyFont="1">
      <alignment horizontal="left"/>
    </xf>
    <xf borderId="27" fillId="0" fontId="1" numFmtId="2" xfId="0" applyAlignment="1" applyBorder="1" applyFont="1" applyNumberFormat="1">
      <alignment horizontal="center"/>
    </xf>
    <xf borderId="27" fillId="0" fontId="1" numFmtId="0" xfId="0" applyAlignment="1" applyBorder="1" applyFont="1">
      <alignment horizontal="center"/>
    </xf>
    <xf borderId="27" fillId="0" fontId="46" numFmtId="0" xfId="0" applyAlignment="1" applyBorder="1" applyFont="1">
      <alignment horizontal="center"/>
    </xf>
    <xf borderId="35" fillId="6" fontId="6" numFmtId="0" xfId="0" applyAlignment="1" applyBorder="1" applyFont="1">
      <alignment horizontal="left"/>
    </xf>
    <xf borderId="27" fillId="0" fontId="1" numFmtId="165" xfId="0" applyAlignment="1" applyBorder="1" applyFont="1" applyNumberFormat="1">
      <alignment horizontal="center"/>
    </xf>
    <xf borderId="27" fillId="0" fontId="46" numFmtId="165" xfId="0" applyAlignment="1" applyBorder="1" applyFont="1" applyNumberFormat="1">
      <alignment horizontal="center" readingOrder="0"/>
    </xf>
    <xf borderId="35" fillId="10" fontId="24" numFmtId="0" xfId="0" applyAlignment="1" applyBorder="1" applyFont="1">
      <alignment horizontal="left"/>
    </xf>
    <xf borderId="1" fillId="10" fontId="24" numFmtId="0" xfId="0" applyAlignment="1" applyBorder="1" applyFont="1">
      <alignment horizontal="center"/>
    </xf>
    <xf borderId="36" fillId="15" fontId="24" numFmtId="165" xfId="0" applyAlignment="1" applyBorder="1" applyFill="1" applyFont="1" applyNumberFormat="1">
      <alignment horizontal="center"/>
    </xf>
    <xf borderId="6" fillId="10" fontId="33" numFmtId="0" xfId="0" applyBorder="1" applyFont="1"/>
    <xf borderId="7" fillId="16" fontId="33" numFmtId="10" xfId="0" applyAlignment="1" applyBorder="1" applyFill="1" applyFont="1" applyNumberFormat="1">
      <alignment horizontal="center"/>
    </xf>
    <xf borderId="36" fillId="15" fontId="24" numFmtId="9" xfId="0" applyAlignment="1" applyBorder="1" applyFont="1" applyNumberFormat="1">
      <alignment horizontal="center"/>
    </xf>
    <xf borderId="37" fillId="10" fontId="24" numFmtId="0" xfId="0" applyAlignment="1" applyBorder="1" applyFont="1">
      <alignment horizontal="left"/>
    </xf>
    <xf borderId="38" fillId="10" fontId="24" numFmtId="0" xfId="0" applyAlignment="1" applyBorder="1" applyFont="1">
      <alignment horizontal="center"/>
    </xf>
    <xf borderId="39" fillId="5" fontId="24" numFmtId="10" xfId="0" applyAlignment="1" applyBorder="1" applyFont="1" applyNumberFormat="1">
      <alignment horizontal="center"/>
    </xf>
    <xf borderId="4" fillId="0" fontId="33" numFmtId="0" xfId="0" applyBorder="1" applyFont="1"/>
    <xf borderId="40" fillId="0" fontId="13" numFmtId="0" xfId="0" applyBorder="1" applyFont="1"/>
    <xf borderId="5" fillId="17" fontId="13" numFmtId="10" xfId="0" applyBorder="1" applyFill="1" applyFont="1" applyNumberFormat="1"/>
    <xf borderId="11" fillId="0" fontId="33" numFmtId="0" xfId="0" applyBorder="1" applyFont="1"/>
    <xf borderId="41" fillId="0" fontId="13" numFmtId="0" xfId="0" applyBorder="1" applyFont="1"/>
    <xf borderId="12" fillId="17" fontId="13" numFmtId="10" xfId="0" applyBorder="1" applyFont="1" applyNumberFormat="1"/>
    <xf borderId="0" fillId="0" fontId="55" numFmtId="0" xfId="0" applyAlignment="1" applyFont="1">
      <alignment horizontal="center"/>
    </xf>
    <xf borderId="18" fillId="18" fontId="24" numFmtId="0" xfId="0" applyAlignment="1" applyBorder="1" applyFill="1" applyFont="1">
      <alignment horizontal="left"/>
    </xf>
    <xf borderId="42" fillId="16" fontId="24" numFmtId="165" xfId="0" applyAlignment="1" applyBorder="1" applyFont="1" applyNumberFormat="1">
      <alignment horizontal="center" readingOrder="0"/>
    </xf>
    <xf borderId="4" fillId="0" fontId="1" numFmtId="0" xfId="0" applyAlignment="1" applyBorder="1" applyFont="1">
      <alignment horizontal="left"/>
    </xf>
    <xf borderId="40" fillId="0" fontId="1" numFmtId="0" xfId="0" applyAlignment="1" applyBorder="1" applyFont="1">
      <alignment horizontal="left"/>
    </xf>
    <xf borderId="40" fillId="0" fontId="1" numFmtId="0" xfId="0" applyAlignment="1" applyBorder="1" applyFont="1">
      <alignment horizontal="center"/>
    </xf>
    <xf borderId="5" fillId="0" fontId="24" numFmtId="165" xfId="0" applyAlignment="1" applyBorder="1" applyFont="1" applyNumberFormat="1">
      <alignment horizontal="center"/>
    </xf>
    <xf borderId="26" fillId="18" fontId="24" numFmtId="0" xfId="0" applyAlignment="1" applyBorder="1" applyFont="1">
      <alignment horizontal="left"/>
    </xf>
    <xf borderId="27" fillId="19" fontId="24" numFmtId="10" xfId="0" applyAlignment="1" applyBorder="1" applyFill="1" applyFont="1" applyNumberFormat="1">
      <alignment horizontal="center"/>
    </xf>
    <xf borderId="6" fillId="0" fontId="24" numFmtId="0" xfId="0" applyAlignment="1" applyBorder="1" applyFont="1">
      <alignment horizontal="left"/>
    </xf>
    <xf borderId="7" fillId="0" fontId="1" numFmtId="0" xfId="0" applyAlignment="1" applyBorder="1" applyFont="1">
      <alignment horizontal="center"/>
    </xf>
    <xf borderId="21" fillId="3" fontId="24" numFmtId="0" xfId="0" applyAlignment="1" applyBorder="1" applyFont="1">
      <alignment horizontal="left"/>
    </xf>
    <xf borderId="28" fillId="20" fontId="24" numFmtId="0" xfId="0" applyAlignment="1" applyBorder="1" applyFill="1" applyFont="1">
      <alignment horizontal="center"/>
    </xf>
    <xf borderId="6" fillId="0" fontId="1" numFmtId="0" xfId="0" applyAlignment="1" applyBorder="1" applyFont="1">
      <alignment horizontal="left"/>
    </xf>
    <xf borderId="7" fillId="0" fontId="1" numFmtId="4" xfId="0" applyAlignment="1" applyBorder="1" applyFont="1" applyNumberFormat="1">
      <alignment horizontal="center"/>
    </xf>
    <xf borderId="7" fillId="0" fontId="24" numFmtId="2" xfId="0" applyAlignment="1" applyBorder="1" applyFont="1" applyNumberFormat="1">
      <alignment horizontal="center"/>
    </xf>
    <xf borderId="0" fillId="0" fontId="56" numFmtId="0" xfId="0" applyAlignment="1" applyFont="1">
      <alignment horizontal="left"/>
    </xf>
    <xf borderId="0" fillId="0" fontId="56" numFmtId="0" xfId="0" applyAlignment="1" applyFont="1">
      <alignment horizontal="center"/>
    </xf>
    <xf borderId="6" fillId="0" fontId="1" numFmtId="0" xfId="0" applyAlignment="1" applyBorder="1" applyFont="1">
      <alignment horizontal="left" readingOrder="0"/>
    </xf>
    <xf borderId="7" fillId="0" fontId="1" numFmtId="2" xfId="0" applyAlignment="1" applyBorder="1" applyFont="1" applyNumberFormat="1">
      <alignment horizontal="center"/>
    </xf>
    <xf borderId="0" fillId="0" fontId="28" numFmtId="0" xfId="0" applyAlignment="1" applyFont="1">
      <alignment horizontal="left"/>
    </xf>
    <xf borderId="0" fillId="0" fontId="28" numFmtId="0" xfId="0" applyAlignment="1" applyFont="1">
      <alignment horizontal="center"/>
    </xf>
    <xf borderId="6" fillId="0" fontId="57" numFmtId="0" xfId="0" applyAlignment="1" applyBorder="1" applyFont="1">
      <alignment horizontal="left"/>
    </xf>
    <xf borderId="7" fillId="0" fontId="56" numFmtId="2" xfId="0" applyAlignment="1" applyBorder="1" applyFont="1" applyNumberFormat="1">
      <alignment horizontal="center"/>
    </xf>
    <xf borderId="15" fillId="0" fontId="24" numFmtId="0" xfId="0" applyAlignment="1" applyBorder="1" applyFont="1">
      <alignment horizontal="left"/>
    </xf>
    <xf borderId="15" fillId="0" fontId="24" numFmtId="0" xfId="0" applyAlignment="1" applyBorder="1" applyFont="1">
      <alignment horizontal="center"/>
    </xf>
    <xf borderId="15" fillId="0" fontId="24" numFmtId="165" xfId="0" applyAlignment="1" applyBorder="1" applyFont="1" applyNumberFormat="1">
      <alignment horizontal="center"/>
    </xf>
    <xf borderId="43" fillId="12" fontId="24" numFmtId="0" xfId="0" applyAlignment="1" applyBorder="1" applyFont="1">
      <alignment horizontal="left"/>
    </xf>
    <xf borderId="44" fillId="0" fontId="9" numFmtId="0" xfId="0" applyBorder="1" applyFont="1"/>
    <xf borderId="30" fillId="12" fontId="24" numFmtId="0" xfId="0" applyAlignment="1" applyBorder="1" applyFont="1">
      <alignment horizontal="center"/>
    </xf>
    <xf borderId="45" fillId="12" fontId="24" numFmtId="165" xfId="0" applyAlignment="1" applyBorder="1" applyFont="1" applyNumberFormat="1">
      <alignment horizontal="center"/>
    </xf>
    <xf borderId="0" fillId="0" fontId="54" numFmtId="0" xfId="0" applyAlignment="1" applyFont="1">
      <alignment horizontal="left"/>
    </xf>
    <xf borderId="6" fillId="0" fontId="58" numFmtId="0" xfId="0" applyAlignment="1" applyBorder="1" applyFont="1">
      <alignment horizontal="left"/>
    </xf>
    <xf borderId="7" fillId="0" fontId="1" numFmtId="10" xfId="0" applyAlignment="1" applyBorder="1" applyFont="1" applyNumberFormat="1">
      <alignment horizontal="center"/>
    </xf>
    <xf borderId="6" fillId="21" fontId="7" numFmtId="0" xfId="0" applyAlignment="1" applyBorder="1" applyFill="1" applyFont="1">
      <alignment horizontal="left"/>
    </xf>
    <xf borderId="0" fillId="21" fontId="7" numFmtId="0" xfId="0" applyAlignment="1" applyFont="1">
      <alignment horizontal="center"/>
    </xf>
    <xf borderId="7" fillId="5" fontId="7" numFmtId="10" xfId="0" applyAlignment="1" applyBorder="1" applyFont="1" applyNumberFormat="1">
      <alignment horizontal="center"/>
    </xf>
    <xf borderId="6" fillId="0" fontId="59" numFmtId="0" xfId="0" applyAlignment="1" applyBorder="1" applyFont="1">
      <alignment horizontal="left"/>
    </xf>
    <xf borderId="0" fillId="0" fontId="59" numFmtId="0" xfId="0" applyAlignment="1" applyFont="1">
      <alignment horizontal="left"/>
    </xf>
    <xf borderId="7" fillId="0" fontId="24" numFmtId="10" xfId="0" applyAlignment="1" applyBorder="1" applyFont="1" applyNumberFormat="1">
      <alignment horizontal="center"/>
    </xf>
    <xf borderId="6" fillId="10" fontId="59" numFmtId="0" xfId="0" applyAlignment="1" applyBorder="1" applyFont="1">
      <alignment horizontal="left"/>
    </xf>
    <xf borderId="0" fillId="10" fontId="59" numFmtId="0" xfId="0" applyAlignment="1" applyFont="1">
      <alignment horizontal="left"/>
    </xf>
    <xf borderId="0" fillId="10" fontId="24" numFmtId="0" xfId="0" applyAlignment="1" applyFont="1">
      <alignment horizontal="center"/>
    </xf>
    <xf borderId="7" fillId="17" fontId="24" numFmtId="10" xfId="0" applyAlignment="1" applyBorder="1" applyFont="1" applyNumberFormat="1">
      <alignment horizontal="center"/>
    </xf>
    <xf borderId="46" fillId="0" fontId="58" numFmtId="0" xfId="0" applyAlignment="1" applyBorder="1" applyFont="1">
      <alignment horizontal="left"/>
    </xf>
    <xf borderId="47" fillId="0" fontId="9" numFmtId="0" xfId="0" applyBorder="1" applyFont="1"/>
    <xf borderId="47" fillId="0" fontId="1" numFmtId="0" xfId="0" applyAlignment="1" applyBorder="1" applyFont="1">
      <alignment horizontal="center"/>
    </xf>
    <xf borderId="48" fillId="0" fontId="1" numFmtId="10" xfId="0" applyAlignment="1" applyBorder="1" applyFont="1" applyNumberFormat="1">
      <alignment horizontal="center"/>
    </xf>
    <xf borderId="6" fillId="2" fontId="7" numFmtId="0" xfId="0" applyAlignment="1" applyBorder="1" applyFont="1">
      <alignment horizontal="left"/>
    </xf>
    <xf borderId="0" fillId="2" fontId="6" numFmtId="0" xfId="0" applyAlignment="1" applyFont="1">
      <alignment horizontal="center"/>
    </xf>
    <xf borderId="7" fillId="22" fontId="7" numFmtId="10" xfId="0" applyAlignment="1" applyBorder="1" applyFill="1" applyFont="1" applyNumberFormat="1">
      <alignment horizontal="center"/>
    </xf>
    <xf borderId="49" fillId="10" fontId="59" numFmtId="0" xfId="0" applyAlignment="1" applyBorder="1" applyFont="1">
      <alignment horizontal="left"/>
    </xf>
    <xf borderId="22" fillId="10" fontId="59" numFmtId="0" xfId="0" applyAlignment="1" applyBorder="1" applyFont="1">
      <alignment horizontal="left"/>
    </xf>
    <xf borderId="22" fillId="10" fontId="24" numFmtId="0" xfId="0" applyAlignment="1" applyBorder="1" applyFont="1">
      <alignment horizontal="center"/>
    </xf>
    <xf borderId="23" fillId="22" fontId="24" numFmtId="10" xfId="0" applyAlignment="1" applyBorder="1" applyFont="1" applyNumberFormat="1">
      <alignment horizontal="center"/>
    </xf>
    <xf borderId="22" fillId="0" fontId="24" numFmtId="168" xfId="0" applyAlignment="1" applyBorder="1" applyFont="1" applyNumberFormat="1">
      <alignment horizontal="center"/>
    </xf>
    <xf borderId="6" fillId="13" fontId="24" numFmtId="0" xfId="0" applyAlignment="1" applyBorder="1" applyFont="1">
      <alignment horizontal="left"/>
    </xf>
    <xf borderId="50" fillId="13" fontId="24" numFmtId="165" xfId="0" applyAlignment="1" applyBorder="1" applyFont="1" applyNumberFormat="1">
      <alignment horizontal="center"/>
    </xf>
    <xf borderId="6" fillId="2" fontId="60" numFmtId="0" xfId="0" applyAlignment="1" applyBorder="1" applyFont="1">
      <alignment horizontal="left"/>
    </xf>
    <xf borderId="0" fillId="2" fontId="60" numFmtId="0" xfId="0" applyAlignment="1" applyFont="1">
      <alignment horizontal="center"/>
    </xf>
    <xf borderId="7" fillId="5" fontId="60" numFmtId="10" xfId="0" applyAlignment="1" applyBorder="1" applyFont="1" applyNumberFormat="1">
      <alignment horizontal="center"/>
    </xf>
    <xf borderId="6" fillId="0" fontId="59" numFmtId="0" xfId="0" applyAlignment="1" applyBorder="1" applyFont="1">
      <alignment vertical="bottom"/>
    </xf>
    <xf borderId="7" fillId="0" fontId="33" numFmtId="10" xfId="0" applyAlignment="1" applyBorder="1" applyFont="1" applyNumberFormat="1">
      <alignment horizontal="center" vertical="bottom"/>
    </xf>
    <xf borderId="6" fillId="10" fontId="59" numFmtId="0" xfId="0" applyAlignment="1" applyBorder="1" applyFont="1">
      <alignment shrinkToFit="0" vertical="bottom" wrapText="0"/>
    </xf>
    <xf borderId="0" fillId="10" fontId="13" numFmtId="0" xfId="0" applyAlignment="1" applyFont="1">
      <alignment vertical="bottom"/>
    </xf>
    <xf borderId="7" fillId="5" fontId="33" numFmtId="10" xfId="0" applyAlignment="1" applyBorder="1" applyFont="1" applyNumberFormat="1">
      <alignment horizontal="center" vertical="bottom"/>
    </xf>
    <xf borderId="47" fillId="0" fontId="61" numFmtId="0" xfId="0" applyAlignment="1" applyBorder="1" applyFont="1">
      <alignment horizontal="center"/>
    </xf>
    <xf borderId="48" fillId="0" fontId="60" numFmtId="10" xfId="0" applyAlignment="1" applyBorder="1" applyFont="1" applyNumberFormat="1">
      <alignment horizontal="center"/>
    </xf>
    <xf borderId="0" fillId="2" fontId="7" numFmtId="0" xfId="0" applyAlignment="1" applyFont="1">
      <alignment horizontal="left"/>
    </xf>
    <xf borderId="11" fillId="10" fontId="59" numFmtId="0" xfId="0" applyAlignment="1" applyBorder="1" applyFont="1">
      <alignment shrinkToFit="0" vertical="bottom" wrapText="0"/>
    </xf>
    <xf borderId="41" fillId="10" fontId="13" numFmtId="0" xfId="0" applyAlignment="1" applyBorder="1" applyFont="1">
      <alignment vertical="bottom"/>
    </xf>
    <xf borderId="12" fillId="17" fontId="33" numFmtId="10" xfId="0" applyAlignment="1" applyBorder="1" applyFont="1" applyNumberFormat="1">
      <alignment horizontal="center" vertical="bottom"/>
    </xf>
    <xf borderId="18" fillId="0" fontId="13" numFmtId="0" xfId="0" applyAlignment="1" applyBorder="1" applyFont="1">
      <alignment vertical="bottom"/>
    </xf>
    <xf borderId="19" fillId="0" fontId="13" numFmtId="0" xfId="0" applyAlignment="1" applyBorder="1" applyFont="1">
      <alignment vertical="bottom"/>
    </xf>
    <xf borderId="19" fillId="0" fontId="33" numFmtId="0" xfId="0" applyAlignment="1" applyBorder="1" applyFont="1">
      <alignment horizontal="right" vertical="bottom"/>
    </xf>
    <xf borderId="42" fillId="0" fontId="33" numFmtId="0" xfId="0" applyAlignment="1" applyBorder="1" applyFont="1">
      <alignment horizontal="right" vertical="bottom"/>
    </xf>
    <xf borderId="0" fillId="0" fontId="60" numFmtId="0" xfId="0" applyFont="1"/>
    <xf borderId="26" fillId="0" fontId="10" numFmtId="0" xfId="0" applyAlignment="1" applyBorder="1" applyFont="1">
      <alignment horizontal="center" vertical="bottom"/>
    </xf>
    <xf borderId="0" fillId="0" fontId="10" numFmtId="10" xfId="0" applyAlignment="1" applyFont="1" applyNumberFormat="1">
      <alignment horizontal="right" vertical="bottom"/>
    </xf>
    <xf borderId="27" fillId="0" fontId="10" numFmtId="10" xfId="0" applyAlignment="1" applyBorder="1" applyFont="1" applyNumberFormat="1">
      <alignment horizontal="right" vertical="bottom"/>
    </xf>
    <xf borderId="26" fillId="0" fontId="55" numFmtId="0" xfId="0" applyAlignment="1" applyBorder="1" applyFont="1">
      <alignment horizontal="center" vertical="bottom"/>
    </xf>
    <xf borderId="0" fillId="0" fontId="23" numFmtId="165" xfId="0" applyAlignment="1" applyFont="1" applyNumberFormat="1">
      <alignment horizontal="right" vertical="bottom"/>
    </xf>
    <xf borderId="27" fillId="0" fontId="23" numFmtId="165" xfId="0" applyAlignment="1" applyBorder="1" applyFont="1" applyNumberFormat="1">
      <alignment horizontal="right" vertical="bottom"/>
    </xf>
    <xf borderId="26" fillId="0" fontId="59" numFmtId="0" xfId="0" applyAlignment="1" applyBorder="1" applyFont="1">
      <alignment horizontal="center" vertical="bottom"/>
    </xf>
    <xf borderId="27" fillId="0" fontId="13" numFmtId="10" xfId="0" applyAlignment="1" applyBorder="1" applyFont="1" applyNumberFormat="1">
      <alignment horizontal="right" vertical="bottom"/>
    </xf>
    <xf borderId="26" fillId="0" fontId="33" numFmtId="0" xfId="0" applyAlignment="1" applyBorder="1" applyFont="1">
      <alignment horizontal="center" vertical="bottom"/>
    </xf>
    <xf borderId="21" fillId="23" fontId="33" numFmtId="0" xfId="0" applyAlignment="1" applyBorder="1" applyFill="1" applyFont="1">
      <alignment horizontal="center" vertical="bottom"/>
    </xf>
    <xf borderId="22" fillId="0" fontId="9" numFmtId="0" xfId="0" applyBorder="1" applyFont="1"/>
    <xf borderId="22" fillId="11" fontId="33" numFmtId="10" xfId="0" applyAlignment="1" applyBorder="1" applyFont="1" applyNumberFormat="1">
      <alignment horizontal="right" vertical="bottom"/>
    </xf>
    <xf borderId="28" fillId="11" fontId="33" numFmtId="10" xfId="0" applyAlignment="1" applyBorder="1" applyFont="1" applyNumberFormat="1">
      <alignment horizontal="right" vertical="bottom"/>
    </xf>
    <xf borderId="0" fillId="0" fontId="13" numFmtId="0" xfId="0" applyAlignment="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885825</xdr:colOff>
      <xdr:row>208</xdr:row>
      <xdr:rowOff>152400</xdr:rowOff>
    </xdr:from>
    <xdr:ext cx="7743825" cy="3295650"/>
    <xdr:sp>
      <xdr:nvSpPr>
        <xdr:cNvPr id="3" name="Shape 3"/>
        <xdr:cNvSpPr/>
      </xdr:nvSpPr>
      <xdr:spPr>
        <a:xfrm>
          <a:off x="1478850" y="2136938"/>
          <a:ext cx="7734300" cy="3286125"/>
        </a:xfrm>
        <a:prstGeom prst="rect">
          <a:avLst/>
        </a:prstGeom>
        <a:solidFill>
          <a:srgbClr val="BC8D02"/>
        </a:solidFill>
        <a:ln cap="flat" cmpd="sng" w="12700">
          <a:solidFill>
            <a:srgbClr val="1B3867"/>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a:t>
          </a:r>
          <a:r>
            <a:rPr b="0" i="0" lang="en-US" sz="1100" u="none" strike="noStrike">
              <a:solidFill>
                <a:schemeClr val="lt1"/>
              </a:solidFill>
              <a:latin typeface="Arial"/>
              <a:ea typeface="Arial"/>
              <a:cs typeface="Arial"/>
              <a:sym typeface="Arial"/>
            </a:rPr>
            <a:t> fórmula de </a:t>
          </a:r>
          <a:r>
            <a:rPr b="1" i="0" lang="en-US" sz="1100" u="none" strike="noStrike">
              <a:solidFill>
                <a:schemeClr val="lt1"/>
              </a:solidFill>
              <a:latin typeface="Arial"/>
              <a:ea typeface="Arial"/>
              <a:cs typeface="Arial"/>
              <a:sym typeface="Arial"/>
            </a:rPr>
            <a:t>valoración intrínseca (Valoración ABYA)</a:t>
          </a:r>
          <a:r>
            <a:rPr b="0" i="0" lang="en-US" sz="1100" u="none" strike="noStrike">
              <a:solidFill>
                <a:schemeClr val="lt1"/>
              </a:solidFill>
              <a:latin typeface="Arial"/>
              <a:ea typeface="Arial"/>
              <a:cs typeface="Arial"/>
              <a:sym typeface="Arial"/>
            </a:rPr>
            <a:t> será; </a:t>
          </a:r>
          <a:r>
            <a:rPr b="1" i="0" lang="en-US" sz="1100" u="sng">
              <a:solidFill>
                <a:schemeClr val="lt1"/>
              </a:solidFill>
              <a:latin typeface="Arial"/>
              <a:ea typeface="Arial"/>
              <a:cs typeface="Arial"/>
              <a:sym typeface="Arial"/>
            </a:rPr>
            <a:t>Valor intrínseco/acción =(Valor En libros/acción) x Múltiplo ABYA</a:t>
          </a:r>
          <a:endParaRPr b="0" sz="1100"/>
        </a:p>
        <a:p>
          <a:pPr indent="0" lvl="0" marL="0" rtl="0" algn="l">
            <a:spcBef>
              <a:spcPts val="0"/>
            </a:spcBef>
            <a:spcAft>
              <a:spcPts val="0"/>
            </a:spcAft>
            <a:buClr>
              <a:schemeClr val="lt1"/>
            </a:buClr>
            <a:buSzPts val="1100"/>
            <a:buFont typeface="Arial"/>
            <a:buNone/>
          </a:pPr>
          <a:br>
            <a:rPr b="0" lang="en-US" sz="1100">
              <a:solidFill>
                <a:schemeClr val="lt1"/>
              </a:solidFill>
              <a:latin typeface="Arial"/>
              <a:ea typeface="Arial"/>
              <a:cs typeface="Arial"/>
              <a:sym typeface="Arial"/>
            </a:rPr>
          </a:br>
          <a:r>
            <a:rPr b="0" i="0" lang="en-US" sz="1100" u="none" strike="noStrike">
              <a:solidFill>
                <a:schemeClr val="lt1"/>
              </a:solidFill>
              <a:latin typeface="Arial"/>
              <a:ea typeface="Arial"/>
              <a:cs typeface="Arial"/>
              <a:sym typeface="Arial"/>
            </a:rPr>
            <a:t>Donde:</a:t>
          </a:r>
          <a:endParaRPr b="0" sz="1100"/>
        </a:p>
        <a:p>
          <a:pPr indent="-298450" lvl="0" marL="457200" rtl="0" algn="l">
            <a:spcBef>
              <a:spcPts val="0"/>
            </a:spcBef>
            <a:spcAft>
              <a:spcPts val="0"/>
            </a:spcAft>
            <a:buClr>
              <a:schemeClr val="lt1"/>
            </a:buClr>
            <a:buSzPts val="1100"/>
            <a:buFont typeface="Arial"/>
            <a:buChar char="-"/>
          </a:pPr>
          <a:r>
            <a:rPr b="0" i="0" lang="en-US" sz="1100" u="none" strike="noStrike">
              <a:solidFill>
                <a:schemeClr val="lt1"/>
              </a:solidFill>
              <a:latin typeface="Arial"/>
              <a:ea typeface="Arial"/>
              <a:cs typeface="Arial"/>
              <a:sym typeface="Arial"/>
            </a:rPr>
            <a:t>Valor en libros/acción = Equity/ acciones diluidas en circulación. </a:t>
          </a:r>
          <a:endParaRPr b="0" i="0" sz="1100" u="none" strike="noStrike">
            <a:solidFill>
              <a:schemeClr val="lt1"/>
            </a:solidFill>
            <a:latin typeface="Arial"/>
            <a:ea typeface="Arial"/>
            <a:cs typeface="Arial"/>
            <a:sym typeface="Aria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marR="0" rtl="0" algn="l">
            <a:lnSpc>
              <a:spcPct val="100000"/>
            </a:lnSpc>
            <a:spcBef>
              <a:spcPts val="0"/>
            </a:spcBef>
            <a:spcAft>
              <a:spcPts val="0"/>
            </a:spcAft>
            <a:buClr>
              <a:schemeClr val="lt1"/>
            </a:buClr>
            <a:buSzPts val="1100"/>
            <a:buFont typeface="Arial"/>
            <a:buNone/>
          </a:pPr>
          <a:r>
            <a:rPr b="1" lang="en-US" sz="1100">
              <a:solidFill>
                <a:schemeClr val="lt1"/>
              </a:solidFill>
            </a:rPr>
            <a:t>Así, el </a:t>
          </a:r>
          <a:r>
            <a:rPr b="1" i="0" lang="en-US" sz="1100" u="none" strike="noStrike">
              <a:solidFill>
                <a:schemeClr val="lt1"/>
              </a:solidFill>
              <a:latin typeface="Arial"/>
              <a:ea typeface="Arial"/>
              <a:cs typeface="Arial"/>
              <a:sym typeface="Arial"/>
            </a:rPr>
            <a:t>Múltiplo ABYA de se</a:t>
          </a:r>
          <a:r>
            <a:rPr b="1" lang="en-US" sz="1100">
              <a:solidFill>
                <a:schemeClr val="lt1"/>
              </a:solidFill>
            </a:rPr>
            <a:t>guridad </a:t>
          </a:r>
          <a:r>
            <a:rPr b="1" i="0" lang="en-US" sz="1100" u="none" strike="noStrike">
              <a:solidFill>
                <a:schemeClr val="lt1"/>
              </a:solidFill>
              <a:latin typeface="Arial"/>
              <a:ea typeface="Arial"/>
              <a:cs typeface="Arial"/>
              <a:sym typeface="Arial"/>
            </a:rPr>
            <a:t>= [(ROE- k)/(CE - k)]* נ</a:t>
          </a:r>
          <a:r>
            <a:rPr b="0" i="0" lang="en-US" sz="1100" u="none" strike="noStrike">
              <a:solidFill>
                <a:schemeClr val="lt1"/>
              </a:solidFill>
              <a:latin typeface="Arial"/>
              <a:ea typeface="Arial"/>
              <a:cs typeface="Arial"/>
              <a:sym typeface="Arial"/>
            </a:rPr>
            <a:t> ,  siendo </a:t>
          </a:r>
          <a:r>
            <a:rPr b="1" i="0" lang="en-US" sz="1100" u="none" strike="noStrike">
              <a:solidFill>
                <a:schemeClr val="lt1"/>
              </a:solidFill>
              <a:latin typeface="Arial"/>
              <a:ea typeface="Arial"/>
              <a:cs typeface="Arial"/>
              <a:sym typeface="Arial"/>
            </a:rPr>
            <a:t>נ</a:t>
          </a:r>
          <a:r>
            <a:rPr b="0" i="0" lang="en-US" sz="1100" u="none" strike="noStrike">
              <a:solidFill>
                <a:schemeClr val="lt1"/>
              </a:solidFill>
              <a:latin typeface="Arial"/>
              <a:ea typeface="Arial"/>
              <a:cs typeface="Arial"/>
              <a:sym typeface="Arial"/>
            </a:rPr>
            <a:t>  el grado de Certidumbre (o confianza) resultante del </a:t>
          </a:r>
          <a:r>
            <a:rPr b="1" i="0" lang="en-US" sz="1100" u="sng" strike="noStrike">
              <a:solidFill>
                <a:schemeClr val="lt1"/>
              </a:solidFill>
              <a:latin typeface="Arial"/>
              <a:ea typeface="Arial"/>
              <a:cs typeface="Arial"/>
              <a:sym typeface="Arial"/>
            </a:rPr>
            <a:t>promedio</a:t>
          </a:r>
          <a:r>
            <a:rPr b="0" i="0" lang="en-US" sz="1100" u="none" strike="noStrike">
              <a:solidFill>
                <a:schemeClr val="lt1"/>
              </a:solidFill>
              <a:latin typeface="Arial"/>
              <a:ea typeface="Arial"/>
              <a:cs typeface="Arial"/>
              <a:sym typeface="Arial"/>
            </a:rPr>
            <a:t> de grados de certidumbre de sucesos de los eventos negativos (e</a:t>
          </a:r>
          <a:r>
            <a:rPr lang="en-US" sz="1100">
              <a:solidFill>
                <a:schemeClr val="lt1"/>
              </a:solidFill>
            </a:rPr>
            <a:t>standarizado al 85%)</a:t>
          </a:r>
          <a:r>
            <a:rPr b="0" i="0" lang="en-US" sz="1100" u="none" strike="noStrike">
              <a:solidFill>
                <a:schemeClr val="lt1"/>
              </a:solidFill>
              <a:latin typeface="Arial"/>
              <a:ea typeface="Arial"/>
              <a:cs typeface="Arial"/>
              <a:sym typeface="Arial"/>
            </a:rPr>
            <a:t> y siendo el ROE seleccionado el generado por la compañía en el último año de estimaciones y siendo “k” la tasa de crecimiento perenne del grupo.</a:t>
          </a:r>
          <a:endParaRPr sz="1400"/>
        </a:p>
        <a:p>
          <a:pPr indent="0" lvl="0" marL="0" rtl="0" algn="l">
            <a:spcBef>
              <a:spcPts val="0"/>
            </a:spcBef>
            <a:spcAft>
              <a:spcPts val="0"/>
            </a:spcAft>
            <a:buClr>
              <a:schemeClr val="lt1"/>
            </a:buClr>
            <a:buSzPts val="1100"/>
            <a:buFont typeface="Arial"/>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29" width="12.5"/>
  </cols>
  <sheetData>
    <row r="1" ht="15.75" customHeight="1">
      <c r="A1" s="1"/>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6"/>
      <c r="T1" s="7"/>
      <c r="U1" s="7"/>
      <c r="W1" s="8"/>
    </row>
    <row r="2" ht="15.75" customHeight="1">
      <c r="A2" s="9"/>
      <c r="B2" s="9"/>
      <c r="C2" s="10"/>
      <c r="D2" s="9" t="s">
        <v>0</v>
      </c>
      <c r="E2" s="10"/>
      <c r="F2" s="10"/>
      <c r="G2" s="10"/>
      <c r="H2" s="10"/>
      <c r="I2" s="10"/>
      <c r="J2" s="10"/>
      <c r="K2" s="10"/>
      <c r="L2" s="10"/>
      <c r="M2" s="10"/>
      <c r="N2" s="10"/>
      <c r="O2" s="10"/>
      <c r="P2" s="10"/>
      <c r="Q2" s="10"/>
      <c r="R2" s="10"/>
    </row>
    <row r="3" ht="15.75" customHeight="1">
      <c r="A3" s="10"/>
      <c r="B3" s="10"/>
      <c r="C3" s="11" t="s">
        <v>1</v>
      </c>
      <c r="K3" s="10"/>
      <c r="L3" s="10"/>
      <c r="M3" s="10"/>
      <c r="N3" s="10"/>
      <c r="O3" s="10"/>
      <c r="P3" s="10"/>
      <c r="Q3" s="11" t="s">
        <v>2</v>
      </c>
      <c r="T3" s="11"/>
      <c r="U3" s="11"/>
    </row>
    <row r="4" ht="15.75" customHeight="1">
      <c r="A4" s="12"/>
      <c r="B4" s="13" t="s">
        <v>3</v>
      </c>
      <c r="C4" s="14"/>
      <c r="D4" s="14"/>
      <c r="E4" s="14"/>
      <c r="F4" s="14"/>
      <c r="G4" s="14"/>
      <c r="H4" s="14"/>
      <c r="I4" s="14"/>
      <c r="J4" s="14"/>
      <c r="K4" s="14"/>
      <c r="L4" s="14"/>
      <c r="M4" s="14"/>
      <c r="N4" s="14"/>
      <c r="O4" s="14"/>
      <c r="P4" s="14"/>
      <c r="Q4" s="14"/>
      <c r="R4" s="14"/>
      <c r="S4" s="14"/>
      <c r="T4" s="12"/>
      <c r="U4" s="12"/>
    </row>
    <row r="5" ht="15.75" customHeight="1">
      <c r="A5" s="15"/>
      <c r="B5" s="15"/>
      <c r="C5" s="15" t="s">
        <v>4</v>
      </c>
      <c r="D5" s="16">
        <v>365.0</v>
      </c>
      <c r="E5" s="10"/>
      <c r="F5" s="10"/>
      <c r="G5" s="10"/>
      <c r="H5" s="10"/>
      <c r="I5" s="10"/>
      <c r="J5" s="10"/>
      <c r="K5" s="10"/>
      <c r="L5" s="10"/>
      <c r="M5" s="10"/>
      <c r="N5" s="10"/>
      <c r="O5" s="10"/>
      <c r="P5" s="10"/>
      <c r="Q5" s="10"/>
      <c r="R5" s="10"/>
    </row>
    <row r="6" ht="15.75" customHeight="1">
      <c r="A6" s="1"/>
      <c r="B6" s="2"/>
      <c r="C6" s="2"/>
      <c r="D6" s="3"/>
      <c r="E6" s="4">
        <v>2013.0</v>
      </c>
      <c r="F6" s="4">
        <v>2014.0</v>
      </c>
      <c r="G6" s="4">
        <v>2015.0</v>
      </c>
      <c r="H6" s="4">
        <v>2016.0</v>
      </c>
      <c r="I6" s="4">
        <v>2017.0</v>
      </c>
      <c r="J6" s="4"/>
      <c r="K6" s="17">
        <v>2019.0</v>
      </c>
      <c r="L6" s="17">
        <v>2020.0</v>
      </c>
      <c r="M6" s="17">
        <v>2021.0</v>
      </c>
      <c r="N6" s="17">
        <v>2022.0</v>
      </c>
      <c r="O6" s="17">
        <v>2023.0</v>
      </c>
      <c r="P6" s="17">
        <v>2024.0</v>
      </c>
      <c r="Q6" s="18" t="s">
        <v>5</v>
      </c>
      <c r="R6" s="18" t="s">
        <v>6</v>
      </c>
      <c r="S6" s="18" t="s">
        <v>7</v>
      </c>
      <c r="T6" s="18" t="s">
        <v>8</v>
      </c>
      <c r="U6" s="18" t="s">
        <v>9</v>
      </c>
      <c r="W6" s="19" t="s">
        <v>10</v>
      </c>
      <c r="X6" s="20"/>
    </row>
    <row r="7" ht="15.75" customHeight="1">
      <c r="A7" s="21"/>
      <c r="B7" s="21" t="s">
        <v>11</v>
      </c>
      <c r="C7" s="21"/>
      <c r="D7" s="22"/>
      <c r="E7" s="22"/>
      <c r="F7" s="22"/>
      <c r="G7" s="22"/>
      <c r="H7" s="22"/>
      <c r="I7" s="22"/>
      <c r="J7" s="23"/>
      <c r="K7" s="24">
        <v>131.95</v>
      </c>
      <c r="L7" s="24">
        <v>261.49</v>
      </c>
      <c r="M7" s="24">
        <v>417.58</v>
      </c>
      <c r="N7" s="24">
        <v>368.42</v>
      </c>
      <c r="O7" s="24">
        <v>390.73</v>
      </c>
      <c r="P7" s="24">
        <f t="shared" ref="P7:U7" si="1">P21</f>
        <v>480.02</v>
      </c>
      <c r="Q7" s="24">
        <f t="shared" si="1"/>
        <v>538.115</v>
      </c>
      <c r="R7" s="24">
        <f t="shared" si="1"/>
        <v>559.1489511</v>
      </c>
      <c r="S7" s="24">
        <f t="shared" si="1"/>
        <v>593.6747221</v>
      </c>
      <c r="T7" s="24">
        <f t="shared" si="1"/>
        <v>630.5290969</v>
      </c>
      <c r="U7" s="24">
        <f t="shared" si="1"/>
        <v>669.8837379</v>
      </c>
      <c r="V7" s="25"/>
      <c r="W7" s="26">
        <f>RRI(3,O7,R7)</f>
        <v>0.1268953471</v>
      </c>
      <c r="X7" s="27"/>
      <c r="Y7" s="25"/>
      <c r="Z7" s="25"/>
      <c r="AA7" s="25"/>
      <c r="AB7" s="25"/>
      <c r="AC7" s="25"/>
    </row>
    <row r="8" ht="15.75" customHeight="1">
      <c r="A8" s="15"/>
      <c r="B8" s="15" t="s">
        <v>12</v>
      </c>
      <c r="D8" s="28"/>
      <c r="E8" s="28"/>
      <c r="F8" s="28"/>
      <c r="G8" s="28"/>
      <c r="H8" s="28"/>
      <c r="I8" s="28"/>
      <c r="J8" s="28"/>
      <c r="K8" s="29">
        <v>-0.016</v>
      </c>
      <c r="L8" s="29">
        <f t="shared" ref="L8:U8" si="2">(L7/K7)-1</f>
        <v>0.9817355059</v>
      </c>
      <c r="M8" s="29">
        <f t="shared" si="2"/>
        <v>0.5969253126</v>
      </c>
      <c r="N8" s="29">
        <f t="shared" si="2"/>
        <v>-0.1177259447</v>
      </c>
      <c r="O8" s="29">
        <f t="shared" si="2"/>
        <v>0.0605558873</v>
      </c>
      <c r="P8" s="29">
        <f t="shared" si="2"/>
        <v>0.2285209736</v>
      </c>
      <c r="Q8" s="29">
        <f t="shared" si="2"/>
        <v>0.1210262072</v>
      </c>
      <c r="R8" s="29">
        <f t="shared" si="2"/>
        <v>0.0390882081</v>
      </c>
      <c r="S8" s="29">
        <f t="shared" si="2"/>
        <v>0.06174700124</v>
      </c>
      <c r="T8" s="29">
        <f t="shared" si="2"/>
        <v>0.06207839649</v>
      </c>
      <c r="U8" s="29">
        <f t="shared" si="2"/>
        <v>0.06241526566</v>
      </c>
      <c r="V8" s="30"/>
      <c r="W8" s="26"/>
      <c r="X8" s="27"/>
      <c r="Y8" s="30"/>
      <c r="Z8" s="30"/>
    </row>
    <row r="9" ht="15.75" customHeight="1">
      <c r="A9" s="15"/>
      <c r="B9" s="15" t="s">
        <v>13</v>
      </c>
      <c r="C9" s="15"/>
      <c r="D9" s="28"/>
      <c r="E9" s="28"/>
      <c r="F9" s="28"/>
      <c r="G9" s="28"/>
      <c r="H9" s="28"/>
      <c r="I9" s="28"/>
      <c r="J9" s="28"/>
      <c r="K9" s="29"/>
      <c r="L9" s="29"/>
      <c r="M9" s="29"/>
      <c r="N9" s="29"/>
      <c r="O9" s="29"/>
      <c r="P9" s="29"/>
      <c r="Q9" s="29"/>
      <c r="R9" s="16"/>
      <c r="S9" s="16"/>
      <c r="T9" s="16"/>
      <c r="U9" s="16"/>
      <c r="W9" s="26"/>
      <c r="X9" s="27"/>
    </row>
    <row r="10" ht="15.75" customHeight="1" outlineLevel="1">
      <c r="A10" s="31"/>
      <c r="B10" s="31"/>
      <c r="C10" s="31"/>
      <c r="D10" s="32"/>
      <c r="E10" s="32"/>
      <c r="F10" s="32"/>
      <c r="G10" s="32"/>
      <c r="H10" s="32"/>
      <c r="I10" s="32"/>
      <c r="J10" s="32"/>
      <c r="K10" s="33"/>
      <c r="L10" s="33"/>
      <c r="M10" s="33"/>
      <c r="N10" s="34"/>
      <c r="O10" s="35"/>
      <c r="P10" s="35"/>
      <c r="Q10" s="35"/>
      <c r="R10" s="35"/>
      <c r="S10" s="35"/>
      <c r="T10" s="35"/>
      <c r="U10" s="35"/>
      <c r="V10" s="36"/>
      <c r="W10" s="26"/>
      <c r="X10" s="27"/>
      <c r="Y10" s="36"/>
      <c r="Z10" s="36"/>
      <c r="AA10" s="36"/>
      <c r="AB10" s="36"/>
      <c r="AC10" s="36"/>
    </row>
    <row r="11" ht="15.75" customHeight="1" outlineLevel="1">
      <c r="A11" s="31"/>
      <c r="B11" s="37" t="s">
        <v>14</v>
      </c>
      <c r="D11" s="37"/>
      <c r="E11" s="37"/>
      <c r="F11" s="37"/>
      <c r="G11" s="37"/>
      <c r="H11" s="37"/>
      <c r="I11" s="37"/>
      <c r="J11" s="38"/>
      <c r="K11" s="39">
        <v>0.7</v>
      </c>
      <c r="L11" s="39">
        <v>1.02</v>
      </c>
      <c r="M11" s="39">
        <v>2.06</v>
      </c>
      <c r="N11" s="39">
        <v>2.398</v>
      </c>
      <c r="O11" s="39">
        <v>2.7</v>
      </c>
      <c r="P11" s="39">
        <v>3.07</v>
      </c>
      <c r="Q11" s="39">
        <v>3.4</v>
      </c>
      <c r="R11" s="39">
        <f>Q11*1.07</f>
        <v>3.638</v>
      </c>
      <c r="S11" s="39">
        <f t="shared" ref="S11:U11" si="3">R11*1.05</f>
        <v>3.8199</v>
      </c>
      <c r="T11" s="39">
        <f t="shared" si="3"/>
        <v>4.010895</v>
      </c>
      <c r="U11" s="39">
        <f t="shared" si="3"/>
        <v>4.21143975</v>
      </c>
      <c r="V11" s="36"/>
      <c r="W11" s="40">
        <f t="shared" ref="W11:W13" si="4">RRI(3,O11,R11)</f>
        <v>0.1045015004</v>
      </c>
      <c r="X11" s="27"/>
      <c r="Y11" s="36"/>
      <c r="Z11" s="36"/>
      <c r="AA11" s="36"/>
      <c r="AB11" s="36"/>
      <c r="AC11" s="36"/>
    </row>
    <row r="12" ht="15.75" customHeight="1" outlineLevel="1">
      <c r="A12" s="31"/>
      <c r="B12" s="37" t="s">
        <v>15</v>
      </c>
      <c r="D12" s="37"/>
      <c r="E12" s="37"/>
      <c r="F12" s="37"/>
      <c r="G12" s="37"/>
      <c r="H12" s="37"/>
      <c r="I12" s="37"/>
      <c r="J12" s="38"/>
      <c r="K12" s="39">
        <v>45.0</v>
      </c>
      <c r="L12" s="39">
        <v>73.0</v>
      </c>
      <c r="M12" s="39">
        <v>44.17</v>
      </c>
      <c r="N12" s="39">
        <v>28.03</v>
      </c>
      <c r="O12" s="39">
        <v>21.0</v>
      </c>
      <c r="P12" s="39">
        <v>20.52</v>
      </c>
      <c r="Q12" s="39">
        <v>22.6</v>
      </c>
      <c r="R12" s="39">
        <v>23.0</v>
      </c>
      <c r="S12" s="39">
        <v>23.0</v>
      </c>
      <c r="T12" s="39">
        <v>23.0</v>
      </c>
      <c r="U12" s="39">
        <v>23.0</v>
      </c>
      <c r="V12" s="36"/>
      <c r="W12" s="40">
        <f t="shared" si="4"/>
        <v>0.03078837911</v>
      </c>
      <c r="X12" s="27"/>
      <c r="Y12" s="36"/>
      <c r="Z12" s="36"/>
      <c r="AA12" s="36"/>
      <c r="AB12" s="36"/>
      <c r="AC12" s="36"/>
    </row>
    <row r="13" ht="15.75" customHeight="1" outlineLevel="1">
      <c r="A13" s="41"/>
      <c r="B13" s="37" t="s">
        <v>16</v>
      </c>
      <c r="D13" s="42"/>
      <c r="E13" s="42"/>
      <c r="F13" s="42"/>
      <c r="G13" s="42"/>
      <c r="H13" s="42"/>
      <c r="I13" s="42"/>
      <c r="J13" s="43"/>
      <c r="K13" s="44">
        <v>2.87</v>
      </c>
      <c r="L13" s="44">
        <v>2.82</v>
      </c>
      <c r="M13" s="44">
        <f t="shared" ref="M13:N13" si="5">M14/(M12*M11)</f>
        <v>3.733369088</v>
      </c>
      <c r="N13" s="44">
        <f t="shared" si="5"/>
        <v>4.049932204</v>
      </c>
      <c r="O13" s="44">
        <v>4.14</v>
      </c>
      <c r="P13" s="44">
        <f>P14/(P11*P12)</f>
        <v>4.476763752</v>
      </c>
      <c r="Q13" s="44">
        <v>4.8</v>
      </c>
      <c r="R13" s="44">
        <f t="shared" ref="R13:U13" si="6">Q13</f>
        <v>4.8</v>
      </c>
      <c r="S13" s="44">
        <f t="shared" si="6"/>
        <v>4.8</v>
      </c>
      <c r="T13" s="44">
        <f t="shared" si="6"/>
        <v>4.8</v>
      </c>
      <c r="U13" s="44">
        <f t="shared" si="6"/>
        <v>4.8</v>
      </c>
      <c r="V13" s="45"/>
      <c r="W13" s="26">
        <f t="shared" si="4"/>
        <v>0.05054251325</v>
      </c>
      <c r="X13" s="27"/>
      <c r="Y13" s="45"/>
      <c r="Z13" s="45"/>
      <c r="AA13" s="45"/>
      <c r="AB13" s="45"/>
      <c r="AC13" s="45"/>
    </row>
    <row r="14" ht="15.75" customHeight="1" outlineLevel="1">
      <c r="A14" s="46"/>
      <c r="B14" s="47" t="s">
        <v>17</v>
      </c>
      <c r="D14" s="48"/>
      <c r="E14" s="48"/>
      <c r="F14" s="48"/>
      <c r="G14" s="48"/>
      <c r="H14" s="48"/>
      <c r="I14" s="48"/>
      <c r="J14" s="49"/>
      <c r="K14" s="50">
        <f>K13*K12*K11</f>
        <v>90.405</v>
      </c>
      <c r="L14" s="50">
        <f>L11*L12*L13</f>
        <v>209.9772</v>
      </c>
      <c r="M14" s="50">
        <v>339.7</v>
      </c>
      <c r="N14" s="50">
        <v>272.22</v>
      </c>
      <c r="O14" s="50">
        <f>O11*O12*O13</f>
        <v>234.738</v>
      </c>
      <c r="P14" s="50">
        <v>282.02</v>
      </c>
      <c r="Q14" s="50">
        <f t="shared" ref="Q14:U14" si="7">Q11*Q12*Q13</f>
        <v>368.832</v>
      </c>
      <c r="R14" s="50">
        <f t="shared" si="7"/>
        <v>401.6352</v>
      </c>
      <c r="S14" s="50">
        <f t="shared" si="7"/>
        <v>421.71696</v>
      </c>
      <c r="T14" s="50">
        <f t="shared" si="7"/>
        <v>442.802808</v>
      </c>
      <c r="U14" s="50">
        <f t="shared" si="7"/>
        <v>464.9429484</v>
      </c>
      <c r="V14" s="51"/>
      <c r="W14" s="26"/>
      <c r="X14" s="27"/>
      <c r="Y14" s="52"/>
      <c r="Z14" s="52"/>
      <c r="AA14" s="52"/>
      <c r="AB14" s="52"/>
      <c r="AC14" s="52"/>
    </row>
    <row r="15" ht="15.75" customHeight="1" outlineLevel="1">
      <c r="A15" s="41"/>
      <c r="B15" s="37" t="s">
        <v>18</v>
      </c>
      <c r="D15" s="42"/>
      <c r="E15" s="42"/>
      <c r="F15" s="42"/>
      <c r="G15" s="42"/>
      <c r="H15" s="42"/>
      <c r="I15" s="42"/>
      <c r="J15" s="53"/>
      <c r="K15" s="44">
        <v>986.0</v>
      </c>
      <c r="L15" s="44">
        <v>2071.0</v>
      </c>
      <c r="M15" s="44">
        <v>2825.0</v>
      </c>
      <c r="N15" s="44">
        <v>3247.0</v>
      </c>
      <c r="O15" s="44">
        <v>3600.0</v>
      </c>
      <c r="P15" s="44">
        <v>4269.0</v>
      </c>
      <c r="Q15" s="44">
        <v>5000.0</v>
      </c>
      <c r="R15" s="44">
        <f t="shared" ref="R15:U15" si="8">Q15*1.0917</f>
        <v>5458.5</v>
      </c>
      <c r="S15" s="44">
        <f t="shared" si="8"/>
        <v>5959.04445</v>
      </c>
      <c r="T15" s="44">
        <f t="shared" si="8"/>
        <v>6505.488826</v>
      </c>
      <c r="U15" s="44">
        <f t="shared" si="8"/>
        <v>7102.042151</v>
      </c>
      <c r="V15" s="54"/>
      <c r="W15" s="26">
        <f>RRI(3,O15,R15)</f>
        <v>0.1488330949</v>
      </c>
      <c r="X15" s="27"/>
      <c r="Y15" s="45"/>
      <c r="Z15" s="45"/>
      <c r="AA15" s="45"/>
      <c r="AB15" s="45"/>
      <c r="AC15" s="45"/>
    </row>
    <row r="16" ht="15.75" customHeight="1" outlineLevel="1">
      <c r="A16" s="46"/>
      <c r="B16" s="37" t="s">
        <v>19</v>
      </c>
      <c r="D16" s="48"/>
      <c r="E16" s="48"/>
      <c r="F16" s="48"/>
      <c r="G16" s="48"/>
      <c r="H16" s="48"/>
      <c r="I16" s="48"/>
      <c r="J16" s="49"/>
      <c r="K16" s="55">
        <v>0.0154</v>
      </c>
      <c r="L16" s="55">
        <v>0.0157</v>
      </c>
      <c r="M16" s="55">
        <v>0.021</v>
      </c>
      <c r="N16" s="55">
        <v>0.022</v>
      </c>
      <c r="O16" s="55">
        <v>0.0379</v>
      </c>
      <c r="P16" s="55">
        <f>P17/P15</f>
        <v>0.04227453736</v>
      </c>
      <c r="Q16" s="55">
        <v>0.03</v>
      </c>
      <c r="R16" s="55">
        <v>0.025</v>
      </c>
      <c r="S16" s="55">
        <v>0.025</v>
      </c>
      <c r="T16" s="55">
        <v>0.025</v>
      </c>
      <c r="U16" s="55">
        <v>0.025</v>
      </c>
      <c r="V16" s="52"/>
      <c r="W16" s="26"/>
      <c r="X16" s="27"/>
      <c r="Y16" s="52"/>
      <c r="Z16" s="52"/>
      <c r="AA16" s="52"/>
      <c r="AB16" s="52"/>
      <c r="AC16" s="52"/>
    </row>
    <row r="17" ht="15.75" customHeight="1" outlineLevel="1">
      <c r="A17" s="41"/>
      <c r="B17" s="56" t="s">
        <v>20</v>
      </c>
      <c r="D17" s="42"/>
      <c r="E17" s="42"/>
      <c r="F17" s="42"/>
      <c r="G17" s="42"/>
      <c r="H17" s="42"/>
      <c r="I17" s="42"/>
      <c r="J17" s="43"/>
      <c r="K17" s="50">
        <f t="shared" ref="K17:O17" si="9">K15*K16</f>
        <v>15.1844</v>
      </c>
      <c r="L17" s="50">
        <f t="shared" si="9"/>
        <v>32.5147</v>
      </c>
      <c r="M17" s="50">
        <f t="shared" si="9"/>
        <v>59.325</v>
      </c>
      <c r="N17" s="50">
        <f t="shared" si="9"/>
        <v>71.434</v>
      </c>
      <c r="O17" s="50">
        <f t="shared" si="9"/>
        <v>136.44</v>
      </c>
      <c r="P17" s="50">
        <v>180.47</v>
      </c>
      <c r="Q17" s="50">
        <f t="shared" ref="Q17:U17" si="10">Q15*Q16</f>
        <v>150</v>
      </c>
      <c r="R17" s="50">
        <f t="shared" si="10"/>
        <v>136.4625</v>
      </c>
      <c r="S17" s="50">
        <f t="shared" si="10"/>
        <v>148.9761113</v>
      </c>
      <c r="T17" s="50">
        <f t="shared" si="10"/>
        <v>162.6372207</v>
      </c>
      <c r="U17" s="50">
        <f t="shared" si="10"/>
        <v>177.5510538</v>
      </c>
      <c r="V17" s="45"/>
      <c r="W17" s="26">
        <f>RRI(3,O17,R17)</f>
        <v>0.0000549661959</v>
      </c>
      <c r="X17" s="27"/>
      <c r="Y17" s="45"/>
      <c r="Z17" s="45"/>
      <c r="AA17" s="45"/>
      <c r="AB17" s="45"/>
      <c r="AC17" s="45"/>
    </row>
    <row r="18" ht="15.75" customHeight="1" outlineLevel="1">
      <c r="A18" s="57"/>
      <c r="B18" s="37"/>
      <c r="D18" s="58"/>
      <c r="E18" s="58"/>
      <c r="F18" s="58"/>
      <c r="G18" s="58"/>
      <c r="H18" s="58"/>
      <c r="I18" s="58"/>
      <c r="J18" s="59"/>
      <c r="K18" s="60"/>
      <c r="L18" s="60"/>
      <c r="M18" s="60"/>
      <c r="N18" s="60"/>
      <c r="O18" s="60"/>
      <c r="P18" s="60"/>
      <c r="Q18" s="60"/>
      <c r="R18" s="60"/>
      <c r="S18" s="60"/>
      <c r="T18" s="60"/>
      <c r="U18" s="60"/>
      <c r="V18" s="61"/>
      <c r="W18" s="26"/>
      <c r="X18" s="27"/>
      <c r="Y18" s="61"/>
      <c r="Z18" s="61"/>
      <c r="AA18" s="61"/>
      <c r="AB18" s="61"/>
      <c r="AC18" s="61"/>
    </row>
    <row r="19" ht="15.75" customHeight="1" outlineLevel="1">
      <c r="A19" s="31"/>
      <c r="B19" s="37" t="s">
        <v>21</v>
      </c>
      <c r="D19" s="37"/>
      <c r="E19" s="37"/>
      <c r="F19" s="37"/>
      <c r="G19" s="37"/>
      <c r="H19" s="37"/>
      <c r="I19" s="37"/>
      <c r="K19" s="44">
        <v>26.4</v>
      </c>
      <c r="L19" s="44">
        <v>17.19</v>
      </c>
      <c r="M19" s="44">
        <v>18.52</v>
      </c>
      <c r="N19" s="44">
        <v>24.77</v>
      </c>
      <c r="O19" s="44">
        <v>19.55</v>
      </c>
      <c r="P19" s="44">
        <v>17.53</v>
      </c>
      <c r="Q19" s="44">
        <f>P19*1.1</f>
        <v>19.283</v>
      </c>
      <c r="R19" s="44">
        <f t="shared" ref="R19:U19" si="11">Q19*1.0917</f>
        <v>21.0512511</v>
      </c>
      <c r="S19" s="44">
        <f t="shared" si="11"/>
        <v>22.98165083</v>
      </c>
      <c r="T19" s="44">
        <f t="shared" si="11"/>
        <v>25.08906821</v>
      </c>
      <c r="U19" s="44">
        <f t="shared" si="11"/>
        <v>27.38973576</v>
      </c>
      <c r="V19" s="36"/>
      <c r="W19" s="26"/>
      <c r="X19" s="27"/>
      <c r="Y19" s="36"/>
      <c r="Z19" s="36"/>
      <c r="AA19" s="36"/>
      <c r="AB19" s="36"/>
      <c r="AC19" s="36"/>
    </row>
    <row r="20" ht="15.75" customHeight="1" outlineLevel="1">
      <c r="A20" s="31"/>
      <c r="B20" s="56" t="s">
        <v>22</v>
      </c>
      <c r="D20" s="37"/>
      <c r="E20" s="37"/>
      <c r="F20" s="37"/>
      <c r="G20" s="37"/>
      <c r="H20" s="37"/>
      <c r="I20" s="37"/>
      <c r="J20" s="62"/>
      <c r="K20" s="50">
        <f t="shared" ref="K20:U20" si="12">K18+K19</f>
        <v>26.4</v>
      </c>
      <c r="L20" s="50">
        <f t="shared" si="12"/>
        <v>17.19</v>
      </c>
      <c r="M20" s="50">
        <f t="shared" si="12"/>
        <v>18.52</v>
      </c>
      <c r="N20" s="50">
        <f t="shared" si="12"/>
        <v>24.77</v>
      </c>
      <c r="O20" s="50">
        <f t="shared" si="12"/>
        <v>19.55</v>
      </c>
      <c r="P20" s="50">
        <f t="shared" si="12"/>
        <v>17.53</v>
      </c>
      <c r="Q20" s="50">
        <f t="shared" si="12"/>
        <v>19.283</v>
      </c>
      <c r="R20" s="50">
        <f t="shared" si="12"/>
        <v>21.0512511</v>
      </c>
      <c r="S20" s="50">
        <f t="shared" si="12"/>
        <v>22.98165083</v>
      </c>
      <c r="T20" s="50">
        <f t="shared" si="12"/>
        <v>25.08906821</v>
      </c>
      <c r="U20" s="50">
        <f t="shared" si="12"/>
        <v>27.38973576</v>
      </c>
      <c r="V20" s="36"/>
      <c r="W20" s="26"/>
      <c r="X20" s="27"/>
      <c r="Y20" s="36"/>
      <c r="Z20" s="36"/>
      <c r="AA20" s="36"/>
      <c r="AB20" s="36"/>
      <c r="AC20" s="36"/>
    </row>
    <row r="21" ht="15.75" customHeight="1" outlineLevel="1">
      <c r="A21" s="31"/>
      <c r="B21" s="63" t="s">
        <v>11</v>
      </c>
      <c r="D21" s="37"/>
      <c r="E21" s="37"/>
      <c r="F21" s="37"/>
      <c r="G21" s="37"/>
      <c r="H21" s="37"/>
      <c r="I21" s="37"/>
      <c r="J21" s="55"/>
      <c r="K21" s="64">
        <f t="shared" ref="K21:U21" si="13">K14+K17+K20</f>
        <v>131.9894</v>
      </c>
      <c r="L21" s="64">
        <f t="shared" si="13"/>
        <v>259.6819</v>
      </c>
      <c r="M21" s="64">
        <f t="shared" si="13"/>
        <v>417.545</v>
      </c>
      <c r="N21" s="64">
        <f t="shared" si="13"/>
        <v>368.424</v>
      </c>
      <c r="O21" s="64">
        <f t="shared" si="13"/>
        <v>390.728</v>
      </c>
      <c r="P21" s="64">
        <f t="shared" si="13"/>
        <v>480.02</v>
      </c>
      <c r="Q21" s="64">
        <f t="shared" si="13"/>
        <v>538.115</v>
      </c>
      <c r="R21" s="64">
        <f t="shared" si="13"/>
        <v>559.1489511</v>
      </c>
      <c r="S21" s="64">
        <f t="shared" si="13"/>
        <v>593.6747221</v>
      </c>
      <c r="T21" s="64">
        <f t="shared" si="13"/>
        <v>630.5290969</v>
      </c>
      <c r="U21" s="64">
        <f t="shared" si="13"/>
        <v>669.8837379</v>
      </c>
      <c r="V21" s="36"/>
      <c r="W21" s="26"/>
      <c r="X21" s="27"/>
      <c r="Y21" s="36"/>
      <c r="Z21" s="36"/>
      <c r="AA21" s="36"/>
      <c r="AB21" s="36"/>
      <c r="AC21" s="36"/>
    </row>
    <row r="22" ht="15.75" customHeight="1" outlineLevel="1">
      <c r="A22" s="31"/>
      <c r="B22" s="31"/>
      <c r="C22" s="31"/>
      <c r="D22" s="32"/>
      <c r="E22" s="32"/>
      <c r="F22" s="32"/>
      <c r="G22" s="32"/>
      <c r="H22" s="32"/>
      <c r="I22" s="32"/>
      <c r="J22" s="32"/>
      <c r="K22" s="33"/>
      <c r="L22" s="33"/>
      <c r="M22" s="33"/>
      <c r="N22" s="34"/>
      <c r="O22" s="35"/>
      <c r="P22" s="35"/>
      <c r="Q22" s="35"/>
      <c r="R22" s="35"/>
      <c r="S22" s="35"/>
      <c r="T22" s="35"/>
      <c r="U22" s="35"/>
      <c r="V22" s="36"/>
      <c r="W22" s="26"/>
      <c r="X22" s="27"/>
      <c r="Y22" s="36"/>
      <c r="Z22" s="36"/>
      <c r="AA22" s="36"/>
      <c r="AB22" s="36"/>
      <c r="AC22" s="36"/>
    </row>
    <row r="23" ht="15.75" customHeight="1">
      <c r="A23" s="15"/>
      <c r="B23" s="15" t="s">
        <v>23</v>
      </c>
      <c r="C23" s="15"/>
      <c r="D23" s="28"/>
      <c r="E23" s="28"/>
      <c r="F23" s="28"/>
      <c r="G23" s="28"/>
      <c r="H23" s="28"/>
      <c r="I23" s="28"/>
      <c r="J23" s="65"/>
      <c r="K23" s="44">
        <v>38.17</v>
      </c>
      <c r="L23" s="44">
        <v>49.44</v>
      </c>
      <c r="M23" s="44">
        <v>75.33</v>
      </c>
      <c r="N23" s="44">
        <v>65.19</v>
      </c>
      <c r="O23" s="44">
        <v>69.47</v>
      </c>
      <c r="P23" s="66">
        <v>69.3</v>
      </c>
      <c r="Q23" s="66">
        <f t="shared" ref="Q23:U23" si="14">Q7*Q70</f>
        <v>76.87994366</v>
      </c>
      <c r="R23" s="66">
        <f t="shared" si="14"/>
        <v>79.8850429</v>
      </c>
      <c r="S23" s="66">
        <f t="shared" si="14"/>
        <v>84.81770474</v>
      </c>
      <c r="T23" s="66">
        <f t="shared" si="14"/>
        <v>90.08305185</v>
      </c>
      <c r="U23" s="66">
        <f t="shared" si="14"/>
        <v>95.70560946</v>
      </c>
      <c r="W23" s="26"/>
      <c r="X23" s="27"/>
    </row>
    <row r="24" ht="15.75" customHeight="1">
      <c r="A24" s="67"/>
      <c r="B24" s="67" t="s">
        <v>24</v>
      </c>
      <c r="C24" s="68"/>
      <c r="D24" s="68"/>
      <c r="E24" s="68"/>
      <c r="F24" s="68"/>
      <c r="G24" s="68"/>
      <c r="H24" s="68"/>
      <c r="I24" s="68"/>
      <c r="J24" s="69"/>
      <c r="K24" s="70">
        <f t="shared" ref="K24:U24" si="15">K7-K23</f>
        <v>93.78</v>
      </c>
      <c r="L24" s="70">
        <f t="shared" si="15"/>
        <v>212.05</v>
      </c>
      <c r="M24" s="70">
        <f t="shared" si="15"/>
        <v>342.25</v>
      </c>
      <c r="N24" s="70">
        <f t="shared" si="15"/>
        <v>303.23</v>
      </c>
      <c r="O24" s="70">
        <f t="shared" si="15"/>
        <v>321.26</v>
      </c>
      <c r="P24" s="70">
        <f t="shared" si="15"/>
        <v>410.72</v>
      </c>
      <c r="Q24" s="70">
        <f t="shared" si="15"/>
        <v>461.2350563</v>
      </c>
      <c r="R24" s="70">
        <f t="shared" si="15"/>
        <v>479.2639082</v>
      </c>
      <c r="S24" s="70">
        <f t="shared" si="15"/>
        <v>508.8570173</v>
      </c>
      <c r="T24" s="70">
        <f t="shared" si="15"/>
        <v>540.446045</v>
      </c>
      <c r="U24" s="70">
        <f t="shared" si="15"/>
        <v>574.1781285</v>
      </c>
      <c r="V24" s="71"/>
      <c r="W24" s="40">
        <f>RRI(3,O24,R24)</f>
        <v>0.1426310548</v>
      </c>
      <c r="X24" s="27"/>
      <c r="Y24" s="71"/>
      <c r="Z24" s="71"/>
      <c r="AA24" s="71"/>
      <c r="AB24" s="71"/>
      <c r="AC24" s="71"/>
    </row>
    <row r="25" ht="15.75" customHeight="1">
      <c r="A25" s="72"/>
      <c r="B25" s="63" t="s">
        <v>25</v>
      </c>
      <c r="D25" s="73"/>
      <c r="E25" s="73"/>
      <c r="F25" s="73"/>
      <c r="G25" s="73"/>
      <c r="H25" s="73"/>
      <c r="I25" s="73"/>
      <c r="J25" s="74"/>
      <c r="K25" s="75">
        <f t="shared" ref="K25:U25" si="16">K24/K7</f>
        <v>0.710723759</v>
      </c>
      <c r="L25" s="75">
        <f t="shared" si="16"/>
        <v>0.8109296723</v>
      </c>
      <c r="M25" s="75">
        <f t="shared" si="16"/>
        <v>0.8196034293</v>
      </c>
      <c r="N25" s="75">
        <f t="shared" si="16"/>
        <v>0.8230552087</v>
      </c>
      <c r="O25" s="75">
        <f t="shared" si="16"/>
        <v>0.8222045914</v>
      </c>
      <c r="P25" s="75">
        <f t="shared" si="16"/>
        <v>0.8556310154</v>
      </c>
      <c r="Q25" s="75">
        <f t="shared" si="16"/>
        <v>0.8571310154</v>
      </c>
      <c r="R25" s="75">
        <f t="shared" si="16"/>
        <v>0.8571310154</v>
      </c>
      <c r="S25" s="75">
        <f t="shared" si="16"/>
        <v>0.8571310154</v>
      </c>
      <c r="T25" s="75">
        <f t="shared" si="16"/>
        <v>0.8571310154</v>
      </c>
      <c r="U25" s="75">
        <f t="shared" si="16"/>
        <v>0.8571310154</v>
      </c>
      <c r="V25" s="45"/>
      <c r="W25" s="40"/>
      <c r="X25" s="27"/>
      <c r="Y25" s="45"/>
      <c r="Z25" s="45"/>
      <c r="AA25" s="45"/>
      <c r="AB25" s="45"/>
      <c r="AC25" s="45"/>
    </row>
    <row r="26" ht="15.75" customHeight="1">
      <c r="A26" s="15"/>
      <c r="B26" s="15"/>
      <c r="C26" s="15"/>
      <c r="D26" s="28"/>
      <c r="E26" s="28"/>
      <c r="F26" s="28"/>
      <c r="G26" s="28"/>
      <c r="H26" s="28"/>
      <c r="I26" s="28"/>
      <c r="J26" s="28"/>
      <c r="K26" s="76"/>
      <c r="L26" s="76"/>
      <c r="M26" s="76"/>
      <c r="N26" s="76"/>
      <c r="O26" s="76"/>
      <c r="P26" s="76"/>
      <c r="Q26" s="76"/>
      <c r="R26" s="76"/>
      <c r="S26" s="76"/>
      <c r="T26" s="76"/>
      <c r="U26" s="76"/>
      <c r="W26" s="40"/>
      <c r="X26" s="27"/>
    </row>
    <row r="27" ht="15.75" customHeight="1">
      <c r="A27" s="77"/>
      <c r="B27" s="78" t="s">
        <v>26</v>
      </c>
      <c r="C27" s="79"/>
      <c r="D27" s="80"/>
      <c r="E27" s="80"/>
      <c r="F27" s="80"/>
      <c r="G27" s="80"/>
      <c r="H27" s="80"/>
      <c r="I27" s="80"/>
      <c r="J27" s="81"/>
      <c r="K27" s="82">
        <v>-24.9</v>
      </c>
      <c r="L27" s="82">
        <v>-50.6</v>
      </c>
      <c r="M27" s="82">
        <v>-82.765</v>
      </c>
      <c r="N27" s="82">
        <v>-68.1</v>
      </c>
      <c r="O27" s="82">
        <v>-83.23</v>
      </c>
      <c r="P27" s="82">
        <v>-115.9</v>
      </c>
      <c r="Q27" s="82">
        <f>P27*1</f>
        <v>-115.9</v>
      </c>
      <c r="R27" s="82">
        <f t="shared" ref="R27:U27" si="17">Q27*1.025</f>
        <v>-118.7975</v>
      </c>
      <c r="S27" s="82">
        <f t="shared" si="17"/>
        <v>-121.7674375</v>
      </c>
      <c r="T27" s="82">
        <f t="shared" si="17"/>
        <v>-124.8116234</v>
      </c>
      <c r="U27" s="82">
        <f t="shared" si="17"/>
        <v>-127.931914</v>
      </c>
      <c r="V27" s="83"/>
      <c r="W27" s="40"/>
      <c r="X27" s="27"/>
      <c r="Y27" s="84"/>
      <c r="Z27" s="84"/>
      <c r="AA27" s="84"/>
      <c r="AB27" s="84"/>
      <c r="AC27" s="84"/>
    </row>
    <row r="28" ht="15.75" customHeight="1">
      <c r="A28" s="10"/>
      <c r="B28" s="85" t="s">
        <v>27</v>
      </c>
      <c r="C28" s="37"/>
      <c r="D28" s="86"/>
      <c r="E28" s="86"/>
      <c r="F28" s="86"/>
      <c r="G28" s="86"/>
      <c r="H28" s="86"/>
      <c r="I28" s="86"/>
      <c r="J28" s="81"/>
      <c r="K28" s="82">
        <v>-0.25</v>
      </c>
      <c r="L28" s="82">
        <v>-15.52</v>
      </c>
      <c r="M28" s="82">
        <v>-59.34</v>
      </c>
      <c r="N28" s="82">
        <v>38.33</v>
      </c>
      <c r="O28" s="82">
        <v>-14.09</v>
      </c>
      <c r="P28" s="87">
        <f t="shared" ref="P28:U28" si="18">P7*P72</f>
        <v>0</v>
      </c>
      <c r="Q28" s="87">
        <f t="shared" si="18"/>
        <v>0</v>
      </c>
      <c r="R28" s="87">
        <f t="shared" si="18"/>
        <v>0</v>
      </c>
      <c r="S28" s="87">
        <f t="shared" si="18"/>
        <v>0</v>
      </c>
      <c r="T28" s="87">
        <f t="shared" si="18"/>
        <v>0</v>
      </c>
      <c r="U28" s="87">
        <f t="shared" si="18"/>
        <v>0</v>
      </c>
      <c r="W28" s="40"/>
      <c r="X28" s="27"/>
    </row>
    <row r="29" ht="15.75" customHeight="1">
      <c r="A29" s="10"/>
      <c r="B29" s="85" t="s">
        <v>28</v>
      </c>
      <c r="C29" s="37"/>
      <c r="K29" s="88">
        <v>-12.82</v>
      </c>
      <c r="L29" s="82">
        <v>-24.63</v>
      </c>
      <c r="M29" s="82">
        <v>-31.82</v>
      </c>
      <c r="N29" s="82">
        <v>-32.0</v>
      </c>
      <c r="O29" s="82">
        <v>-36.0</v>
      </c>
      <c r="P29" s="87">
        <v>-45.78</v>
      </c>
      <c r="Q29" s="87">
        <f t="shared" ref="Q29:U29" si="19">Q7*Q73</f>
        <v>-51.32057977</v>
      </c>
      <c r="R29" s="87">
        <f t="shared" si="19"/>
        <v>-53.32660927</v>
      </c>
      <c r="S29" s="87">
        <f t="shared" si="19"/>
        <v>-56.61936748</v>
      </c>
      <c r="T29" s="87">
        <f t="shared" si="19"/>
        <v>-60.13420702</v>
      </c>
      <c r="U29" s="87">
        <f t="shared" si="19"/>
        <v>-63.88749953</v>
      </c>
      <c r="V29" s="81"/>
      <c r="W29" s="40"/>
      <c r="X29" s="27"/>
    </row>
    <row r="30" ht="15.75" customHeight="1">
      <c r="A30" s="89"/>
      <c r="B30" s="85" t="s">
        <v>29</v>
      </c>
      <c r="C30" s="37"/>
      <c r="D30" s="86"/>
      <c r="E30" s="86"/>
      <c r="F30" s="86"/>
      <c r="G30" s="86"/>
      <c r="H30" s="86"/>
      <c r="I30" s="86"/>
      <c r="J30" s="81"/>
      <c r="K30" s="82">
        <v>-18.26</v>
      </c>
      <c r="L30" s="82">
        <v>-24.28</v>
      </c>
      <c r="M30" s="82">
        <v>-41.98</v>
      </c>
      <c r="N30" s="82">
        <v>-41.4</v>
      </c>
      <c r="O30" s="82">
        <v>-49.47</v>
      </c>
      <c r="P30" s="87">
        <v>-60.73</v>
      </c>
      <c r="Q30" s="87">
        <f>P30*0.8</f>
        <v>-48.584</v>
      </c>
      <c r="R30" s="87">
        <f t="shared" ref="R30:U30" si="20">R7*R74</f>
        <v>-50.4830615</v>
      </c>
      <c r="S30" s="87">
        <f t="shared" si="20"/>
        <v>-53.60023916</v>
      </c>
      <c r="T30" s="87">
        <f t="shared" si="20"/>
        <v>-56.92765606</v>
      </c>
      <c r="U30" s="87">
        <f t="shared" si="20"/>
        <v>-60.48081084</v>
      </c>
      <c r="W30" s="90"/>
      <c r="X30" s="90"/>
    </row>
    <row r="31" ht="15.75" customHeight="1">
      <c r="A31" s="89"/>
      <c r="B31" s="85" t="s">
        <v>30</v>
      </c>
      <c r="C31" s="37"/>
      <c r="D31" s="86"/>
      <c r="E31" s="86"/>
      <c r="F31" s="86"/>
      <c r="G31" s="86"/>
      <c r="H31" s="86"/>
      <c r="I31" s="86"/>
      <c r="J31" s="81"/>
      <c r="K31" s="82">
        <v>-12.52</v>
      </c>
      <c r="L31" s="82">
        <v>-23.21</v>
      </c>
      <c r="M31" s="82">
        <v>-46.069</v>
      </c>
      <c r="N31" s="82">
        <v>-48.87</v>
      </c>
      <c r="O31" s="82">
        <v>-34.01</v>
      </c>
      <c r="P31" s="87">
        <v>-31.61</v>
      </c>
      <c r="Q31" s="87">
        <f>P31*1.05</f>
        <v>-33.1905</v>
      </c>
      <c r="R31" s="87">
        <f t="shared" ref="R31:U31" si="21">R7*R75</f>
        <v>-34.48785717</v>
      </c>
      <c r="S31" s="87">
        <f t="shared" si="21"/>
        <v>-36.61737893</v>
      </c>
      <c r="T31" s="87">
        <f t="shared" si="21"/>
        <v>-38.8905271</v>
      </c>
      <c r="U31" s="87">
        <f t="shared" si="21"/>
        <v>-41.31788968</v>
      </c>
      <c r="W31" s="40"/>
      <c r="X31" s="27"/>
    </row>
    <row r="32" ht="15.75" customHeight="1">
      <c r="A32" s="91"/>
      <c r="B32" s="91" t="s">
        <v>31</v>
      </c>
      <c r="C32" s="91"/>
      <c r="D32" s="92"/>
      <c r="E32" s="92"/>
      <c r="F32" s="92"/>
      <c r="G32" s="92"/>
      <c r="H32" s="92"/>
      <c r="I32" s="92"/>
      <c r="J32" s="92"/>
      <c r="K32" s="93">
        <f t="shared" ref="K32:U32" si="22">SUM(K27:K31)+K24</f>
        <v>25.03</v>
      </c>
      <c r="L32" s="93">
        <f t="shared" si="22"/>
        <v>73.81</v>
      </c>
      <c r="M32" s="93">
        <f t="shared" si="22"/>
        <v>80.276</v>
      </c>
      <c r="N32" s="93">
        <f t="shared" si="22"/>
        <v>151.19</v>
      </c>
      <c r="O32" s="93">
        <f t="shared" si="22"/>
        <v>104.46</v>
      </c>
      <c r="P32" s="93">
        <f t="shared" si="22"/>
        <v>156.7</v>
      </c>
      <c r="Q32" s="93">
        <f t="shared" si="22"/>
        <v>212.2399766</v>
      </c>
      <c r="R32" s="93">
        <f t="shared" si="22"/>
        <v>222.1688803</v>
      </c>
      <c r="S32" s="93">
        <f t="shared" si="22"/>
        <v>240.2525943</v>
      </c>
      <c r="T32" s="93">
        <f t="shared" si="22"/>
        <v>259.6820314</v>
      </c>
      <c r="U32" s="93">
        <f t="shared" si="22"/>
        <v>280.5600144</v>
      </c>
      <c r="V32" s="94"/>
      <c r="W32" s="95"/>
      <c r="X32" s="27"/>
      <c r="Y32" s="94"/>
      <c r="Z32" s="94"/>
      <c r="AA32" s="94"/>
      <c r="AB32" s="94"/>
      <c r="AC32" s="94"/>
    </row>
    <row r="33" ht="15.75" customHeight="1">
      <c r="A33" s="15"/>
      <c r="B33" s="15"/>
      <c r="C33" s="15"/>
      <c r="D33" s="28"/>
      <c r="E33" s="28"/>
      <c r="F33" s="28"/>
      <c r="G33" s="28"/>
      <c r="H33" s="28"/>
      <c r="I33" s="28"/>
      <c r="J33" s="28"/>
      <c r="K33" s="96"/>
      <c r="L33" s="96"/>
      <c r="M33" s="96"/>
      <c r="N33" s="96"/>
      <c r="O33" s="96"/>
      <c r="P33" s="96"/>
      <c r="Q33" s="96"/>
      <c r="R33" s="16"/>
      <c r="S33" s="16"/>
      <c r="T33" s="16"/>
      <c r="U33" s="16"/>
      <c r="W33" s="40"/>
      <c r="X33" s="27"/>
    </row>
    <row r="34" ht="15.75" customHeight="1">
      <c r="A34" s="97"/>
      <c r="B34" s="98" t="s">
        <v>32</v>
      </c>
      <c r="C34" s="99"/>
      <c r="D34" s="100"/>
      <c r="E34" s="100"/>
      <c r="F34" s="100"/>
      <c r="G34" s="100"/>
      <c r="H34" s="100"/>
      <c r="I34" s="100"/>
      <c r="J34" s="101"/>
      <c r="K34" s="102">
        <f t="shared" ref="K34:U34" si="23">K32-K29</f>
        <v>37.85</v>
      </c>
      <c r="L34" s="102">
        <f t="shared" si="23"/>
        <v>98.44</v>
      </c>
      <c r="M34" s="102">
        <f t="shared" si="23"/>
        <v>112.096</v>
      </c>
      <c r="N34" s="102">
        <f t="shared" si="23"/>
        <v>183.19</v>
      </c>
      <c r="O34" s="102">
        <f t="shared" si="23"/>
        <v>140.46</v>
      </c>
      <c r="P34" s="102">
        <f t="shared" si="23"/>
        <v>202.48</v>
      </c>
      <c r="Q34" s="102">
        <f t="shared" si="23"/>
        <v>263.5605563</v>
      </c>
      <c r="R34" s="102">
        <f t="shared" si="23"/>
        <v>275.4954895</v>
      </c>
      <c r="S34" s="102">
        <f t="shared" si="23"/>
        <v>296.8719617</v>
      </c>
      <c r="T34" s="102">
        <f t="shared" si="23"/>
        <v>319.8162384</v>
      </c>
      <c r="U34" s="102">
        <f t="shared" si="23"/>
        <v>344.4475139</v>
      </c>
      <c r="V34" s="94"/>
      <c r="W34" s="95">
        <f>RRI(3,O34,R34)</f>
        <v>0.2517586743</v>
      </c>
      <c r="X34" s="27"/>
      <c r="Y34" s="94"/>
      <c r="Z34" s="94"/>
      <c r="AA34" s="94"/>
      <c r="AB34" s="94"/>
      <c r="AC34" s="94"/>
    </row>
    <row r="35" ht="15.75" customHeight="1">
      <c r="A35" s="72"/>
      <c r="B35" s="72" t="s">
        <v>33</v>
      </c>
      <c r="D35" s="73"/>
      <c r="E35" s="73"/>
      <c r="F35" s="73"/>
      <c r="G35" s="73"/>
      <c r="H35" s="73"/>
      <c r="I35" s="73"/>
      <c r="J35" s="74"/>
      <c r="K35" s="103">
        <f t="shared" ref="K35:U35" si="24">K34/K7</f>
        <v>0.28685108</v>
      </c>
      <c r="L35" s="103">
        <f t="shared" si="24"/>
        <v>0.3764579907</v>
      </c>
      <c r="M35" s="103">
        <f t="shared" si="24"/>
        <v>0.2684419752</v>
      </c>
      <c r="N35" s="103">
        <f t="shared" si="24"/>
        <v>0.4972314207</v>
      </c>
      <c r="O35" s="103">
        <f t="shared" si="24"/>
        <v>0.3594809715</v>
      </c>
      <c r="P35" s="103">
        <f t="shared" si="24"/>
        <v>0.4218157577</v>
      </c>
      <c r="Q35" s="103">
        <f t="shared" si="24"/>
        <v>0.4897848161</v>
      </c>
      <c r="R35" s="103">
        <f t="shared" si="24"/>
        <v>0.49270501</v>
      </c>
      <c r="S35" s="103">
        <f t="shared" si="24"/>
        <v>0.5000582823</v>
      </c>
      <c r="T35" s="103">
        <f t="shared" si="24"/>
        <v>0.5072188421</v>
      </c>
      <c r="U35" s="103">
        <f t="shared" si="24"/>
        <v>0.5141899921</v>
      </c>
      <c r="V35" s="45"/>
      <c r="W35" s="40"/>
      <c r="X35" s="27"/>
      <c r="Y35" s="45"/>
      <c r="Z35" s="45"/>
      <c r="AA35" s="45"/>
      <c r="AB35" s="45"/>
      <c r="AC35" s="45"/>
    </row>
    <row r="36" ht="15.75" customHeight="1">
      <c r="A36" s="15"/>
      <c r="B36" s="15"/>
      <c r="C36" s="15"/>
      <c r="D36" s="28"/>
      <c r="E36" s="28"/>
      <c r="F36" s="28"/>
      <c r="G36" s="28"/>
      <c r="H36" s="28"/>
      <c r="I36" s="28"/>
      <c r="J36" s="28"/>
      <c r="K36" s="16"/>
      <c r="L36" s="16"/>
      <c r="M36" s="16"/>
      <c r="N36" s="16"/>
      <c r="O36" s="16"/>
      <c r="P36" s="16"/>
      <c r="Q36" s="16"/>
      <c r="R36" s="16"/>
      <c r="S36" s="16"/>
      <c r="T36" s="16"/>
      <c r="U36" s="16"/>
      <c r="W36" s="26"/>
      <c r="X36" s="27"/>
    </row>
    <row r="37" ht="15.0" customHeight="1">
      <c r="A37" s="97"/>
      <c r="B37" s="97" t="s">
        <v>34</v>
      </c>
      <c r="C37" s="104"/>
      <c r="D37" s="105"/>
      <c r="E37" s="105"/>
      <c r="F37" s="105"/>
      <c r="G37" s="105"/>
      <c r="H37" s="105"/>
      <c r="I37" s="105"/>
      <c r="J37" s="106"/>
      <c r="K37" s="106">
        <f t="shared" ref="K37:U37" si="25">K32</f>
        <v>25.03</v>
      </c>
      <c r="L37" s="106">
        <f t="shared" si="25"/>
        <v>73.81</v>
      </c>
      <c r="M37" s="106">
        <f t="shared" si="25"/>
        <v>80.276</v>
      </c>
      <c r="N37" s="106">
        <f t="shared" si="25"/>
        <v>151.19</v>
      </c>
      <c r="O37" s="106">
        <f t="shared" si="25"/>
        <v>104.46</v>
      </c>
      <c r="P37" s="106">
        <f t="shared" si="25"/>
        <v>156.7</v>
      </c>
      <c r="Q37" s="106">
        <f t="shared" si="25"/>
        <v>212.2399766</v>
      </c>
      <c r="R37" s="106">
        <f t="shared" si="25"/>
        <v>222.1688803</v>
      </c>
      <c r="S37" s="106">
        <f t="shared" si="25"/>
        <v>240.2525943</v>
      </c>
      <c r="T37" s="106">
        <f t="shared" si="25"/>
        <v>259.6820314</v>
      </c>
      <c r="U37" s="106">
        <f t="shared" si="25"/>
        <v>280.5600144</v>
      </c>
      <c r="V37" s="94"/>
      <c r="W37" s="107">
        <f>RRI(3,O37,R37)</f>
        <v>0.2860101655</v>
      </c>
      <c r="X37" s="27"/>
      <c r="Y37" s="94"/>
      <c r="Z37" s="94"/>
      <c r="AA37" s="94"/>
      <c r="AB37" s="94"/>
      <c r="AC37" s="94"/>
    </row>
    <row r="38" ht="15.75" customHeight="1">
      <c r="A38" s="72"/>
      <c r="B38" s="108" t="s">
        <v>33</v>
      </c>
      <c r="D38" s="109"/>
      <c r="E38" s="109"/>
      <c r="F38" s="109"/>
      <c r="G38" s="109"/>
      <c r="H38" s="109"/>
      <c r="I38" s="109"/>
      <c r="J38" s="110"/>
      <c r="K38" s="110">
        <f t="shared" ref="K38:U38" si="26">K37/K7</f>
        <v>0.1896930656</v>
      </c>
      <c r="L38" s="110">
        <f t="shared" si="26"/>
        <v>0.2822670083</v>
      </c>
      <c r="M38" s="110">
        <f t="shared" si="26"/>
        <v>0.1922410077</v>
      </c>
      <c r="N38" s="110">
        <f t="shared" si="26"/>
        <v>0.4103740296</v>
      </c>
      <c r="O38" s="110">
        <f t="shared" si="26"/>
        <v>0.2673457375</v>
      </c>
      <c r="P38" s="110">
        <f t="shared" si="26"/>
        <v>0.3264447315</v>
      </c>
      <c r="Q38" s="110">
        <f t="shared" si="26"/>
        <v>0.3944137899</v>
      </c>
      <c r="R38" s="110">
        <f t="shared" si="26"/>
        <v>0.3973339838</v>
      </c>
      <c r="S38" s="110">
        <f t="shared" si="26"/>
        <v>0.4046872561</v>
      </c>
      <c r="T38" s="110">
        <f t="shared" si="26"/>
        <v>0.4118478159</v>
      </c>
      <c r="U38" s="110">
        <f t="shared" si="26"/>
        <v>0.4188189659</v>
      </c>
      <c r="V38" s="45"/>
      <c r="W38" s="26"/>
      <c r="X38" s="27"/>
      <c r="Y38" s="45"/>
      <c r="Z38" s="45"/>
      <c r="AA38" s="45"/>
      <c r="AB38" s="45"/>
      <c r="AC38" s="45"/>
    </row>
    <row r="39" ht="15.75" customHeight="1">
      <c r="A39" s="15"/>
      <c r="B39" s="15" t="s">
        <v>35</v>
      </c>
      <c r="D39" s="28"/>
      <c r="E39" s="28"/>
      <c r="F39" s="28"/>
      <c r="G39" s="28"/>
      <c r="H39" s="28"/>
      <c r="I39" s="28"/>
      <c r="J39" s="16"/>
      <c r="K39" s="16"/>
      <c r="L39" s="29">
        <f t="shared" ref="L39:U39" si="27">L37/K37-1</f>
        <v>1.948861366</v>
      </c>
      <c r="M39" s="29">
        <f t="shared" si="27"/>
        <v>0.08760330579</v>
      </c>
      <c r="N39" s="29">
        <f t="shared" si="27"/>
        <v>0.8833773481</v>
      </c>
      <c r="O39" s="29">
        <f t="shared" si="27"/>
        <v>-0.3090812884</v>
      </c>
      <c r="P39" s="29">
        <f t="shared" si="27"/>
        <v>0.5000957304</v>
      </c>
      <c r="Q39" s="29">
        <f t="shared" si="27"/>
        <v>0.354435077</v>
      </c>
      <c r="R39" s="29">
        <f t="shared" si="27"/>
        <v>0.04678149635</v>
      </c>
      <c r="S39" s="29">
        <f t="shared" si="27"/>
        <v>0.08139625128</v>
      </c>
      <c r="T39" s="29">
        <f t="shared" si="27"/>
        <v>0.08087087339</v>
      </c>
      <c r="U39" s="29">
        <f t="shared" si="27"/>
        <v>0.08039825826</v>
      </c>
      <c r="W39" s="26"/>
      <c r="X39" s="27"/>
    </row>
    <row r="40" ht="15.75" customHeight="1">
      <c r="A40" s="15"/>
      <c r="B40" s="15"/>
      <c r="C40" s="15"/>
      <c r="D40" s="28"/>
      <c r="E40" s="28"/>
      <c r="F40" s="28"/>
      <c r="G40" s="28"/>
      <c r="H40" s="28"/>
      <c r="I40" s="28"/>
      <c r="J40" s="111"/>
      <c r="K40" s="112"/>
      <c r="L40" s="87"/>
      <c r="M40" s="87"/>
      <c r="N40" s="87"/>
      <c r="O40" s="113"/>
      <c r="P40" s="113"/>
      <c r="Q40" s="113"/>
      <c r="R40" s="113"/>
      <c r="S40" s="113"/>
      <c r="T40" s="113"/>
      <c r="U40" s="113"/>
      <c r="W40" s="26"/>
      <c r="X40" s="27"/>
    </row>
    <row r="41" ht="15.75" customHeight="1">
      <c r="A41" s="15"/>
      <c r="B41" s="15" t="s">
        <v>36</v>
      </c>
      <c r="C41" s="15"/>
      <c r="D41" s="28"/>
      <c r="E41" s="28"/>
      <c r="F41" s="28"/>
      <c r="G41" s="28"/>
      <c r="H41" s="28"/>
      <c r="I41" s="28"/>
      <c r="J41" s="111"/>
      <c r="K41" s="114">
        <v>-3.12</v>
      </c>
      <c r="L41" s="82">
        <v>-3.91</v>
      </c>
      <c r="M41" s="82">
        <v>-5.84</v>
      </c>
      <c r="N41" s="82">
        <v>-3.98</v>
      </c>
      <c r="O41" s="82">
        <v>-1.33</v>
      </c>
      <c r="P41" s="115">
        <v>-1.04</v>
      </c>
      <c r="Q41" s="115">
        <f t="shared" ref="Q41:U41" si="28">Q7*Q77</f>
        <v>-1.165867256</v>
      </c>
      <c r="R41" s="115">
        <f t="shared" si="28"/>
        <v>-1.211438917</v>
      </c>
      <c r="S41" s="115">
        <f t="shared" si="28"/>
        <v>-1.286241638</v>
      </c>
      <c r="T41" s="115">
        <f t="shared" si="28"/>
        <v>-1.366089456</v>
      </c>
      <c r="U41" s="115">
        <f t="shared" si="28"/>
        <v>-1.451354292</v>
      </c>
      <c r="W41" s="26"/>
      <c r="X41" s="27"/>
    </row>
    <row r="42" ht="15.75" customHeight="1">
      <c r="A42" s="15"/>
      <c r="B42" s="15" t="s">
        <v>37</v>
      </c>
      <c r="C42" s="15"/>
      <c r="D42" s="28"/>
      <c r="E42" s="28"/>
      <c r="F42" s="28"/>
      <c r="G42" s="28"/>
      <c r="H42" s="28"/>
      <c r="I42" s="28"/>
      <c r="J42" s="111"/>
      <c r="K42" s="116">
        <v>0.0</v>
      </c>
      <c r="L42" s="116">
        <v>0.0</v>
      </c>
      <c r="M42" s="116">
        <v>0.0</v>
      </c>
      <c r="N42" s="116">
        <v>0.0</v>
      </c>
      <c r="O42" s="116">
        <v>0.0</v>
      </c>
      <c r="P42" s="117"/>
      <c r="Q42" s="117"/>
      <c r="R42" s="117"/>
      <c r="S42" s="117"/>
      <c r="T42" s="117"/>
      <c r="U42" s="117"/>
      <c r="W42" s="26"/>
      <c r="X42" s="27"/>
    </row>
    <row r="43" ht="15.75" customHeight="1">
      <c r="A43" s="15"/>
      <c r="B43" s="15" t="s">
        <v>38</v>
      </c>
      <c r="C43" s="15"/>
      <c r="D43" s="28"/>
      <c r="E43" s="28"/>
      <c r="F43" s="28"/>
      <c r="G43" s="28"/>
      <c r="H43" s="28"/>
      <c r="I43" s="28"/>
      <c r="J43" s="111"/>
      <c r="K43" s="118"/>
      <c r="L43" s="118"/>
      <c r="M43" s="118"/>
      <c r="N43" s="118"/>
      <c r="O43" s="118"/>
      <c r="P43" s="117"/>
      <c r="Q43" s="117"/>
      <c r="R43" s="117"/>
      <c r="S43" s="117"/>
      <c r="T43" s="117"/>
      <c r="U43" s="117"/>
      <c r="W43" s="40"/>
      <c r="X43" s="27"/>
    </row>
    <row r="44" ht="15.75" customHeight="1">
      <c r="A44" s="119"/>
      <c r="B44" s="119" t="s">
        <v>39</v>
      </c>
      <c r="C44" s="119"/>
      <c r="D44" s="120"/>
      <c r="E44" s="120"/>
      <c r="F44" s="120"/>
      <c r="G44" s="120"/>
      <c r="H44" s="120"/>
      <c r="I44" s="120"/>
      <c r="J44" s="121"/>
      <c r="K44" s="121">
        <f t="shared" ref="K44:U44" si="29">K37+K41+K43+K42</f>
        <v>21.91</v>
      </c>
      <c r="L44" s="121">
        <f t="shared" si="29"/>
        <v>69.9</v>
      </c>
      <c r="M44" s="121">
        <f t="shared" si="29"/>
        <v>74.436</v>
      </c>
      <c r="N44" s="121">
        <f t="shared" si="29"/>
        <v>147.21</v>
      </c>
      <c r="O44" s="121">
        <f t="shared" si="29"/>
        <v>103.13</v>
      </c>
      <c r="P44" s="121">
        <f t="shared" si="29"/>
        <v>155.66</v>
      </c>
      <c r="Q44" s="121">
        <f t="shared" si="29"/>
        <v>211.0741093</v>
      </c>
      <c r="R44" s="121">
        <f t="shared" si="29"/>
        <v>220.9574413</v>
      </c>
      <c r="S44" s="121">
        <f t="shared" si="29"/>
        <v>238.9663526</v>
      </c>
      <c r="T44" s="121">
        <f t="shared" si="29"/>
        <v>258.3159419</v>
      </c>
      <c r="U44" s="121">
        <f t="shared" si="29"/>
        <v>279.1086601</v>
      </c>
      <c r="V44" s="94"/>
      <c r="W44" s="95">
        <f>RRI(3,O44,R44)</f>
        <v>0.2891631159</v>
      </c>
      <c r="X44" s="27"/>
      <c r="Y44" s="94"/>
      <c r="Z44" s="94"/>
      <c r="AA44" s="94"/>
      <c r="AB44" s="94"/>
      <c r="AC44" s="94"/>
    </row>
    <row r="45" ht="15.75" customHeight="1">
      <c r="A45" s="15"/>
      <c r="B45" s="15"/>
      <c r="C45" s="15"/>
      <c r="D45" s="28"/>
      <c r="E45" s="28"/>
      <c r="F45" s="28"/>
      <c r="G45" s="28"/>
      <c r="H45" s="28"/>
      <c r="I45" s="28"/>
      <c r="J45" s="16"/>
      <c r="K45" s="76"/>
      <c r="L45" s="76"/>
      <c r="M45" s="76"/>
      <c r="N45" s="76"/>
      <c r="O45" s="76"/>
      <c r="P45" s="76"/>
      <c r="Q45" s="76"/>
      <c r="R45" s="76"/>
      <c r="S45" s="76"/>
      <c r="T45" s="76"/>
      <c r="U45" s="76"/>
      <c r="W45" s="40"/>
      <c r="X45" s="27"/>
    </row>
    <row r="46" ht="15.75" customHeight="1">
      <c r="A46" s="122"/>
      <c r="B46" s="122" t="s">
        <v>40</v>
      </c>
      <c r="C46" s="122"/>
      <c r="D46" s="123"/>
      <c r="E46" s="123"/>
      <c r="F46" s="123"/>
      <c r="G46" s="123"/>
      <c r="H46" s="123"/>
      <c r="I46" s="123"/>
      <c r="J46" s="87"/>
      <c r="K46" s="87"/>
      <c r="L46" s="87"/>
      <c r="M46" s="87"/>
      <c r="N46" s="87"/>
      <c r="O46" s="87"/>
      <c r="P46" s="87">
        <v>0.0</v>
      </c>
      <c r="Q46" s="87">
        <v>0.0</v>
      </c>
      <c r="R46" s="87">
        <v>0.0</v>
      </c>
      <c r="S46" s="87">
        <v>0.0</v>
      </c>
      <c r="T46" s="87">
        <v>0.0</v>
      </c>
      <c r="U46" s="87">
        <v>0.0</v>
      </c>
      <c r="V46" s="87"/>
      <c r="W46" s="95"/>
      <c r="X46" s="27"/>
      <c r="Y46" s="94"/>
      <c r="Z46" s="94"/>
      <c r="AA46" s="94"/>
      <c r="AB46" s="94"/>
      <c r="AC46" s="94"/>
    </row>
    <row r="47" ht="15.75" customHeight="1">
      <c r="A47" s="119"/>
      <c r="B47" s="119" t="s">
        <v>41</v>
      </c>
      <c r="C47" s="119"/>
      <c r="D47" s="120"/>
      <c r="E47" s="120"/>
      <c r="F47" s="120"/>
      <c r="G47" s="120"/>
      <c r="H47" s="120"/>
      <c r="I47" s="120"/>
      <c r="J47" s="121"/>
      <c r="K47" s="121">
        <f t="shared" ref="K47:U47" si="30">K44+K46</f>
        <v>21.91</v>
      </c>
      <c r="L47" s="121">
        <f t="shared" si="30"/>
        <v>69.9</v>
      </c>
      <c r="M47" s="121">
        <f t="shared" si="30"/>
        <v>74.436</v>
      </c>
      <c r="N47" s="121">
        <f t="shared" si="30"/>
        <v>147.21</v>
      </c>
      <c r="O47" s="121">
        <f t="shared" si="30"/>
        <v>103.13</v>
      </c>
      <c r="P47" s="121">
        <f t="shared" si="30"/>
        <v>155.66</v>
      </c>
      <c r="Q47" s="121">
        <f t="shared" si="30"/>
        <v>211.0741093</v>
      </c>
      <c r="R47" s="121">
        <f t="shared" si="30"/>
        <v>220.9574413</v>
      </c>
      <c r="S47" s="121">
        <f t="shared" si="30"/>
        <v>238.9663526</v>
      </c>
      <c r="T47" s="121">
        <f t="shared" si="30"/>
        <v>258.3159419</v>
      </c>
      <c r="U47" s="121">
        <f t="shared" si="30"/>
        <v>279.1086601</v>
      </c>
      <c r="V47" s="94"/>
      <c r="W47" s="95">
        <f>RRI(3,O47,R47)</f>
        <v>0.2891631159</v>
      </c>
      <c r="X47" s="27"/>
      <c r="Y47" s="94"/>
      <c r="Z47" s="94"/>
      <c r="AA47" s="94"/>
      <c r="AB47" s="94"/>
      <c r="AC47" s="94"/>
    </row>
    <row r="48" ht="15.75" customHeight="1">
      <c r="A48" s="15"/>
      <c r="B48" s="15"/>
      <c r="C48" s="15"/>
      <c r="D48" s="28"/>
      <c r="E48" s="28"/>
      <c r="F48" s="28"/>
      <c r="G48" s="28"/>
      <c r="H48" s="28"/>
      <c r="I48" s="28"/>
      <c r="J48" s="16"/>
      <c r="K48" s="76"/>
      <c r="L48" s="76"/>
      <c r="M48" s="76"/>
      <c r="N48" s="76"/>
      <c r="O48" s="76"/>
      <c r="P48" s="76"/>
      <c r="Q48" s="76"/>
      <c r="R48" s="76"/>
      <c r="S48" s="76"/>
      <c r="T48" s="76"/>
      <c r="U48" s="76"/>
      <c r="W48" s="40"/>
      <c r="X48" s="27"/>
    </row>
    <row r="49" ht="15.75" customHeight="1">
      <c r="A49" s="124"/>
      <c r="B49" s="124" t="s">
        <v>42</v>
      </c>
      <c r="C49" s="124"/>
      <c r="D49" s="125"/>
      <c r="E49" s="125"/>
      <c r="F49" s="125"/>
      <c r="G49" s="125"/>
      <c r="H49" s="125"/>
      <c r="I49" s="125"/>
      <c r="J49" s="87"/>
      <c r="K49" s="82">
        <v>-6.72</v>
      </c>
      <c r="L49" s="82">
        <v>-19.94</v>
      </c>
      <c r="M49" s="82">
        <v>-22.86</v>
      </c>
      <c r="N49" s="82">
        <v>-41.11</v>
      </c>
      <c r="O49" s="82">
        <v>-31.15</v>
      </c>
      <c r="P49" s="87">
        <v>-44.117</v>
      </c>
      <c r="Q49" s="87">
        <f t="shared" ref="Q49:U49" si="31">Q47*Q76</f>
        <v>-59.8224109</v>
      </c>
      <c r="R49" s="87">
        <f t="shared" si="31"/>
        <v>-62.62353488</v>
      </c>
      <c r="S49" s="87">
        <f t="shared" si="31"/>
        <v>-67.72760233</v>
      </c>
      <c r="T49" s="87">
        <f t="shared" si="31"/>
        <v>-73.21164339</v>
      </c>
      <c r="U49" s="87">
        <f t="shared" si="31"/>
        <v>-79.10469458</v>
      </c>
      <c r="V49" s="94"/>
      <c r="W49" s="95"/>
      <c r="X49" s="27"/>
      <c r="Y49" s="94"/>
      <c r="Z49" s="94"/>
      <c r="AA49" s="94"/>
      <c r="AB49" s="94"/>
      <c r="AC49" s="94"/>
    </row>
    <row r="50" ht="15.75" customHeight="1">
      <c r="A50" s="119"/>
      <c r="B50" s="119" t="s">
        <v>43</v>
      </c>
      <c r="C50" s="119"/>
      <c r="D50" s="120"/>
      <c r="E50" s="120"/>
      <c r="F50" s="120"/>
      <c r="G50" s="120"/>
      <c r="H50" s="120"/>
      <c r="I50" s="120"/>
      <c r="J50" s="121"/>
      <c r="K50" s="121">
        <f t="shared" ref="K50:U50" si="32">K47+K49</f>
        <v>15.19</v>
      </c>
      <c r="L50" s="121">
        <f t="shared" si="32"/>
        <v>49.96</v>
      </c>
      <c r="M50" s="121">
        <f t="shared" si="32"/>
        <v>51.576</v>
      </c>
      <c r="N50" s="121">
        <f t="shared" si="32"/>
        <v>106.1</v>
      </c>
      <c r="O50" s="121">
        <f t="shared" si="32"/>
        <v>71.98</v>
      </c>
      <c r="P50" s="121">
        <f t="shared" si="32"/>
        <v>111.543</v>
      </c>
      <c r="Q50" s="121">
        <f t="shared" si="32"/>
        <v>151.2516984</v>
      </c>
      <c r="R50" s="121">
        <f t="shared" si="32"/>
        <v>158.3339065</v>
      </c>
      <c r="S50" s="121">
        <f t="shared" si="32"/>
        <v>171.2387503</v>
      </c>
      <c r="T50" s="121">
        <f t="shared" si="32"/>
        <v>185.1042985</v>
      </c>
      <c r="U50" s="121">
        <f t="shared" si="32"/>
        <v>200.0039655</v>
      </c>
      <c r="V50" s="94"/>
      <c r="W50" s="95">
        <f>RRI(3,O50,R50)</f>
        <v>0.3005309587</v>
      </c>
      <c r="X50" s="27"/>
      <c r="Y50" s="94"/>
      <c r="Z50" s="94"/>
      <c r="AA50" s="94"/>
      <c r="AB50" s="94"/>
      <c r="AC50" s="94"/>
    </row>
    <row r="51" ht="15.75" customHeight="1">
      <c r="A51" s="15"/>
      <c r="B51" s="15"/>
      <c r="C51" s="15"/>
      <c r="D51" s="28"/>
      <c r="E51" s="28"/>
      <c r="F51" s="28"/>
      <c r="G51" s="28"/>
      <c r="H51" s="28"/>
      <c r="I51" s="28"/>
      <c r="J51" s="16"/>
      <c r="K51" s="16"/>
      <c r="L51" s="16"/>
      <c r="M51" s="16"/>
      <c r="N51" s="16"/>
      <c r="O51" s="16"/>
      <c r="P51" s="16"/>
      <c r="Q51" s="16"/>
      <c r="R51" s="16"/>
      <c r="S51" s="16"/>
      <c r="T51" s="16"/>
      <c r="U51" s="16"/>
      <c r="W51" s="40"/>
      <c r="X51" s="27"/>
    </row>
    <row r="52" ht="15.75" customHeight="1">
      <c r="A52" s="15"/>
      <c r="B52" s="15" t="s">
        <v>44</v>
      </c>
      <c r="C52" s="15"/>
      <c r="D52" s="28"/>
      <c r="E52" s="28"/>
      <c r="F52" s="28"/>
      <c r="G52" s="28"/>
      <c r="H52" s="28"/>
      <c r="I52" s="28"/>
      <c r="J52" s="111"/>
      <c r="K52" s="111"/>
      <c r="L52" s="111"/>
      <c r="M52" s="111"/>
      <c r="N52" s="111"/>
      <c r="O52" s="111"/>
      <c r="P52" s="111"/>
      <c r="Q52" s="111"/>
      <c r="R52" s="111"/>
      <c r="S52" s="111"/>
      <c r="T52" s="111"/>
      <c r="U52" s="111"/>
      <c r="W52" s="40"/>
      <c r="X52" s="27"/>
    </row>
    <row r="53" ht="15.75" customHeight="1">
      <c r="A53" s="15"/>
      <c r="B53" s="15" t="s">
        <v>45</v>
      </c>
      <c r="C53" s="15"/>
      <c r="D53" s="28"/>
      <c r="E53" s="28"/>
      <c r="F53" s="28"/>
      <c r="G53" s="28"/>
      <c r="H53" s="28"/>
      <c r="I53" s="28"/>
      <c r="J53" s="111"/>
      <c r="K53" s="126"/>
      <c r="L53" s="126"/>
      <c r="M53" s="126"/>
      <c r="N53" s="126"/>
      <c r="O53" s="126"/>
      <c r="P53" s="126"/>
      <c r="Q53" s="126"/>
      <c r="R53" s="126"/>
      <c r="S53" s="126"/>
      <c r="T53" s="126"/>
      <c r="U53" s="126"/>
      <c r="W53" s="40"/>
      <c r="X53" s="27"/>
    </row>
    <row r="54" ht="15.75" customHeight="1">
      <c r="A54" s="91"/>
      <c r="B54" s="91" t="s">
        <v>46</v>
      </c>
      <c r="C54" s="91"/>
      <c r="D54" s="92"/>
      <c r="E54" s="92"/>
      <c r="F54" s="92"/>
      <c r="G54" s="92"/>
      <c r="H54" s="92"/>
      <c r="I54" s="92"/>
      <c r="J54" s="93"/>
      <c r="K54" s="93">
        <f t="shared" ref="K54:U54" si="33">K50+K52+K53</f>
        <v>15.19</v>
      </c>
      <c r="L54" s="93">
        <f t="shared" si="33"/>
        <v>49.96</v>
      </c>
      <c r="M54" s="93">
        <f t="shared" si="33"/>
        <v>51.576</v>
      </c>
      <c r="N54" s="93">
        <f t="shared" si="33"/>
        <v>106.1</v>
      </c>
      <c r="O54" s="93">
        <f t="shared" si="33"/>
        <v>71.98</v>
      </c>
      <c r="P54" s="93">
        <f t="shared" si="33"/>
        <v>111.543</v>
      </c>
      <c r="Q54" s="93">
        <f t="shared" si="33"/>
        <v>151.2516984</v>
      </c>
      <c r="R54" s="93">
        <f t="shared" si="33"/>
        <v>158.3339065</v>
      </c>
      <c r="S54" s="93">
        <f t="shared" si="33"/>
        <v>171.2387503</v>
      </c>
      <c r="T54" s="93">
        <f t="shared" si="33"/>
        <v>185.1042985</v>
      </c>
      <c r="U54" s="93">
        <f t="shared" si="33"/>
        <v>200.0039655</v>
      </c>
      <c r="V54" s="127"/>
      <c r="W54" s="95">
        <f>RRI(3,O54,R54)</f>
        <v>0.3005309587</v>
      </c>
      <c r="X54" s="27"/>
      <c r="Y54" s="127"/>
      <c r="Z54" s="127"/>
      <c r="AA54" s="127"/>
      <c r="AB54" s="127"/>
      <c r="AC54" s="127"/>
    </row>
    <row r="55" ht="15.75" customHeight="1">
      <c r="A55" s="15"/>
      <c r="B55" s="15"/>
      <c r="C55" s="15" t="s">
        <v>47</v>
      </c>
      <c r="D55" s="28"/>
      <c r="E55" s="28"/>
      <c r="F55" s="28"/>
      <c r="G55" s="28"/>
      <c r="H55" s="28"/>
      <c r="I55" s="28"/>
      <c r="J55" s="16"/>
      <c r="K55" s="16"/>
      <c r="L55" s="29">
        <f t="shared" ref="L55:U55" si="34">L54/K54-1</f>
        <v>2.289005925</v>
      </c>
      <c r="M55" s="29">
        <f t="shared" si="34"/>
        <v>0.0323458767</v>
      </c>
      <c r="N55" s="29">
        <f t="shared" si="34"/>
        <v>1.057158368</v>
      </c>
      <c r="O55" s="29">
        <f t="shared" si="34"/>
        <v>-0.3215834119</v>
      </c>
      <c r="P55" s="29">
        <f t="shared" si="34"/>
        <v>0.5496387886</v>
      </c>
      <c r="Q55" s="29">
        <f t="shared" si="34"/>
        <v>0.355994535</v>
      </c>
      <c r="R55" s="29">
        <f t="shared" si="34"/>
        <v>0.04682399021</v>
      </c>
      <c r="S55" s="29">
        <f t="shared" si="34"/>
        <v>0.08150398183</v>
      </c>
      <c r="T55" s="29">
        <f t="shared" si="34"/>
        <v>0.0809720243</v>
      </c>
      <c r="U55" s="29">
        <f t="shared" si="34"/>
        <v>0.08049336032</v>
      </c>
      <c r="W55" s="40"/>
      <c r="X55" s="27"/>
    </row>
    <row r="56" ht="15.75" customHeight="1">
      <c r="A56" s="15"/>
      <c r="B56" s="15"/>
      <c r="C56" s="15"/>
      <c r="D56" s="28"/>
      <c r="E56" s="28"/>
      <c r="F56" s="28"/>
      <c r="G56" s="28"/>
      <c r="H56" s="28"/>
      <c r="I56" s="28"/>
      <c r="J56" s="16"/>
      <c r="K56" s="16"/>
      <c r="L56" s="16"/>
      <c r="M56" s="16"/>
      <c r="N56" s="16"/>
      <c r="O56" s="16"/>
      <c r="P56" s="16"/>
      <c r="Q56" s="16"/>
      <c r="R56" s="16"/>
      <c r="S56" s="16"/>
      <c r="T56" s="16"/>
      <c r="U56" s="16"/>
      <c r="W56" s="26"/>
      <c r="X56" s="27"/>
    </row>
    <row r="57" ht="15.75" customHeight="1">
      <c r="A57" s="124"/>
      <c r="B57" s="124" t="s">
        <v>48</v>
      </c>
      <c r="C57" s="124"/>
      <c r="D57" s="125"/>
      <c r="E57" s="125"/>
      <c r="F57" s="125"/>
      <c r="G57" s="125"/>
      <c r="H57" s="125"/>
      <c r="I57" s="125"/>
      <c r="J57" s="87"/>
      <c r="K57" s="87"/>
      <c r="L57" s="87"/>
      <c r="M57" s="87"/>
      <c r="N57" s="87"/>
      <c r="O57" s="87"/>
      <c r="P57" s="87">
        <f t="shared" ref="P57:U57" si="35">P54*P79</f>
        <v>0</v>
      </c>
      <c r="Q57" s="87">
        <f t="shared" si="35"/>
        <v>0</v>
      </c>
      <c r="R57" s="87">
        <f t="shared" si="35"/>
        <v>0</v>
      </c>
      <c r="S57" s="87">
        <f t="shared" si="35"/>
        <v>0</v>
      </c>
      <c r="T57" s="87">
        <f t="shared" si="35"/>
        <v>0</v>
      </c>
      <c r="U57" s="87">
        <f t="shared" si="35"/>
        <v>0</v>
      </c>
      <c r="V57" s="94"/>
      <c r="W57" s="107"/>
      <c r="X57" s="27"/>
      <c r="Y57" s="94"/>
      <c r="Z57" s="94"/>
      <c r="AA57" s="94"/>
      <c r="AB57" s="94"/>
      <c r="AC57" s="94"/>
    </row>
    <row r="58" ht="15.75" customHeight="1">
      <c r="A58" s="128"/>
      <c r="B58" s="128" t="s">
        <v>49</v>
      </c>
      <c r="C58" s="128"/>
      <c r="D58" s="129"/>
      <c r="E58" s="129"/>
      <c r="F58" s="129"/>
      <c r="G58" s="129"/>
      <c r="H58" s="129"/>
      <c r="I58" s="129"/>
      <c r="J58" s="24"/>
      <c r="K58" s="24">
        <f t="shared" ref="K58:U58" si="36">K54+K57</f>
        <v>15.19</v>
      </c>
      <c r="L58" s="24">
        <f t="shared" si="36"/>
        <v>49.96</v>
      </c>
      <c r="M58" s="24">
        <f t="shared" si="36"/>
        <v>51.576</v>
      </c>
      <c r="N58" s="24">
        <f t="shared" si="36"/>
        <v>106.1</v>
      </c>
      <c r="O58" s="24">
        <f t="shared" si="36"/>
        <v>71.98</v>
      </c>
      <c r="P58" s="24">
        <f t="shared" si="36"/>
        <v>111.543</v>
      </c>
      <c r="Q58" s="24">
        <f t="shared" si="36"/>
        <v>151.2516984</v>
      </c>
      <c r="R58" s="24">
        <f t="shared" si="36"/>
        <v>158.3339065</v>
      </c>
      <c r="S58" s="24">
        <f t="shared" si="36"/>
        <v>171.2387503</v>
      </c>
      <c r="T58" s="24">
        <f t="shared" si="36"/>
        <v>185.1042985</v>
      </c>
      <c r="U58" s="24">
        <f t="shared" si="36"/>
        <v>200.0039655</v>
      </c>
      <c r="V58" s="130"/>
      <c r="W58" s="107">
        <f>RRI(3,O58,R58)</f>
        <v>0.3005309587</v>
      </c>
      <c r="X58" s="27"/>
      <c r="Y58" s="130"/>
      <c r="Z58" s="130"/>
      <c r="AA58" s="130"/>
      <c r="AB58" s="130"/>
      <c r="AC58" s="130"/>
    </row>
    <row r="59" ht="15.75" customHeight="1">
      <c r="A59" s="15"/>
      <c r="B59" s="15" t="s">
        <v>50</v>
      </c>
      <c r="D59" s="28"/>
      <c r="E59" s="28"/>
      <c r="F59" s="28"/>
      <c r="G59" s="28"/>
      <c r="H59" s="28"/>
      <c r="I59" s="28"/>
      <c r="J59" s="16"/>
      <c r="K59" s="29">
        <f t="shared" ref="K59:U59" si="37">K58/K7</f>
        <v>0.1151193634</v>
      </c>
      <c r="L59" s="29">
        <f t="shared" si="37"/>
        <v>0.1910589315</v>
      </c>
      <c r="M59" s="29">
        <f t="shared" si="37"/>
        <v>0.1235116624</v>
      </c>
      <c r="N59" s="29">
        <f t="shared" si="37"/>
        <v>0.2879865371</v>
      </c>
      <c r="O59" s="29">
        <f t="shared" si="37"/>
        <v>0.1842192819</v>
      </c>
      <c r="P59" s="29">
        <f t="shared" si="37"/>
        <v>0.2323715679</v>
      </c>
      <c r="Q59" s="29">
        <f t="shared" si="37"/>
        <v>0.2810769044</v>
      </c>
      <c r="R59" s="29">
        <f t="shared" si="37"/>
        <v>0.2831694599</v>
      </c>
      <c r="S59" s="29">
        <f t="shared" si="37"/>
        <v>0.2884386751</v>
      </c>
      <c r="T59" s="29">
        <f t="shared" si="37"/>
        <v>0.2935697963</v>
      </c>
      <c r="U59" s="29">
        <f t="shared" si="37"/>
        <v>0.2985651901</v>
      </c>
      <c r="W59" s="26"/>
      <c r="X59" s="27"/>
    </row>
    <row r="60" ht="15.75" customHeight="1">
      <c r="A60" s="15"/>
      <c r="B60" s="15" t="s">
        <v>51</v>
      </c>
      <c r="C60" s="15"/>
      <c r="D60" s="28"/>
      <c r="E60" s="28"/>
      <c r="F60" s="28"/>
      <c r="G60" s="28"/>
      <c r="H60" s="28"/>
      <c r="I60" s="28"/>
      <c r="J60" s="16"/>
      <c r="K60" s="38">
        <v>71.53</v>
      </c>
      <c r="L60" s="38">
        <v>77.64</v>
      </c>
      <c r="M60" s="38">
        <v>92.42</v>
      </c>
      <c r="N60" s="38">
        <v>109.66</v>
      </c>
      <c r="O60" s="39">
        <v>110.02</v>
      </c>
      <c r="P60" s="131">
        <v>109.85</v>
      </c>
      <c r="Q60" s="132">
        <f t="shared" ref="Q60:U60" si="38">P60*Q81</f>
        <v>109.85</v>
      </c>
      <c r="R60" s="132">
        <f t="shared" si="38"/>
        <v>109.85</v>
      </c>
      <c r="S60" s="132">
        <f t="shared" si="38"/>
        <v>109.85</v>
      </c>
      <c r="T60" s="132">
        <f t="shared" si="38"/>
        <v>109.85</v>
      </c>
      <c r="U60" s="132">
        <f t="shared" si="38"/>
        <v>109.85</v>
      </c>
      <c r="W60" s="26"/>
      <c r="X60" s="27"/>
    </row>
    <row r="61" ht="15.75" customHeight="1">
      <c r="A61" s="15"/>
      <c r="B61" s="15" t="s">
        <v>52</v>
      </c>
      <c r="C61" s="15"/>
      <c r="D61" s="28"/>
      <c r="E61" s="28"/>
      <c r="F61" s="28"/>
      <c r="G61" s="28"/>
      <c r="H61" s="28"/>
      <c r="I61" s="28"/>
      <c r="J61" s="16"/>
      <c r="K61" s="38">
        <v>71.53</v>
      </c>
      <c r="L61" s="38">
        <v>77.64</v>
      </c>
      <c r="M61" s="38">
        <v>92.42</v>
      </c>
      <c r="N61" s="38">
        <v>109.66</v>
      </c>
      <c r="O61" s="39">
        <f>N61*O81</f>
        <v>110.7566</v>
      </c>
      <c r="P61" s="133">
        <v>109.85</v>
      </c>
      <c r="Q61" s="133">
        <f t="shared" ref="Q61:U61" si="39">P61*Q81</f>
        <v>109.85</v>
      </c>
      <c r="R61" s="133">
        <f t="shared" si="39"/>
        <v>109.85</v>
      </c>
      <c r="S61" s="133">
        <f t="shared" si="39"/>
        <v>109.85</v>
      </c>
      <c r="T61" s="133">
        <f t="shared" si="39"/>
        <v>109.85</v>
      </c>
      <c r="U61" s="133">
        <f t="shared" si="39"/>
        <v>109.85</v>
      </c>
      <c r="W61" s="26"/>
      <c r="X61" s="27"/>
    </row>
    <row r="62" ht="15.75" customHeight="1">
      <c r="A62" s="15"/>
      <c r="B62" s="15"/>
      <c r="C62" s="15"/>
      <c r="D62" s="28"/>
      <c r="E62" s="28"/>
      <c r="F62" s="28"/>
      <c r="G62" s="28"/>
      <c r="H62" s="28"/>
      <c r="I62" s="28"/>
      <c r="J62" s="16"/>
      <c r="K62" s="16"/>
      <c r="L62" s="16"/>
      <c r="M62" s="16"/>
      <c r="N62" s="16"/>
      <c r="O62" s="16"/>
      <c r="P62" s="16"/>
      <c r="Q62" s="16"/>
      <c r="R62" s="16"/>
      <c r="S62" s="16"/>
      <c r="T62" s="16"/>
      <c r="U62" s="16"/>
      <c r="W62" s="26"/>
      <c r="X62" s="27"/>
    </row>
    <row r="63" ht="15.75" customHeight="1">
      <c r="A63" s="122"/>
      <c r="B63" s="122" t="s">
        <v>53</v>
      </c>
      <c r="C63" s="122"/>
      <c r="D63" s="123"/>
      <c r="E63" s="123"/>
      <c r="F63" s="123"/>
      <c r="G63" s="123"/>
      <c r="H63" s="123"/>
      <c r="I63" s="123"/>
      <c r="J63" s="66"/>
      <c r="K63" s="66">
        <f t="shared" ref="K63:U63" si="40">K58/K60</f>
        <v>0.212358451</v>
      </c>
      <c r="L63" s="66">
        <f t="shared" si="40"/>
        <v>0.6434827409</v>
      </c>
      <c r="M63" s="66">
        <f t="shared" si="40"/>
        <v>0.5580610258</v>
      </c>
      <c r="N63" s="66">
        <f t="shared" si="40"/>
        <v>0.9675360204</v>
      </c>
      <c r="O63" s="66">
        <f t="shared" si="40"/>
        <v>0.6542446828</v>
      </c>
      <c r="P63" s="66">
        <f t="shared" si="40"/>
        <v>1.015411925</v>
      </c>
      <c r="Q63" s="66">
        <f t="shared" si="40"/>
        <v>1.376893022</v>
      </c>
      <c r="R63" s="66">
        <f t="shared" si="40"/>
        <v>1.441364647</v>
      </c>
      <c r="S63" s="66">
        <f t="shared" si="40"/>
        <v>1.558841605</v>
      </c>
      <c r="T63" s="66">
        <f t="shared" si="40"/>
        <v>1.685064165</v>
      </c>
      <c r="U63" s="66">
        <f t="shared" si="40"/>
        <v>1.820700642</v>
      </c>
      <c r="V63" s="94"/>
      <c r="W63" s="95">
        <f t="shared" ref="W63:W64" si="42">RRI(3,O63,R63)</f>
        <v>0.3012014982</v>
      </c>
      <c r="X63" s="27"/>
      <c r="Y63" s="94"/>
      <c r="Z63" s="94"/>
      <c r="AA63" s="94"/>
      <c r="AB63" s="94"/>
      <c r="AC63" s="94"/>
    </row>
    <row r="64" ht="15.75" customHeight="1">
      <c r="A64" s="119"/>
      <c r="B64" s="119" t="s">
        <v>54</v>
      </c>
      <c r="C64" s="119"/>
      <c r="D64" s="120"/>
      <c r="E64" s="120"/>
      <c r="F64" s="120"/>
      <c r="G64" s="120"/>
      <c r="H64" s="120"/>
      <c r="I64" s="120"/>
      <c r="J64" s="121"/>
      <c r="K64" s="121">
        <f t="shared" ref="K64:U64" si="41">K58/K61</f>
        <v>0.212358451</v>
      </c>
      <c r="L64" s="121">
        <f t="shared" si="41"/>
        <v>0.6434827409</v>
      </c>
      <c r="M64" s="121">
        <f t="shared" si="41"/>
        <v>0.5580610258</v>
      </c>
      <c r="N64" s="121">
        <f t="shared" si="41"/>
        <v>0.9675360204</v>
      </c>
      <c r="O64" s="121">
        <f t="shared" si="41"/>
        <v>0.6498935504</v>
      </c>
      <c r="P64" s="121">
        <f t="shared" si="41"/>
        <v>1.015411925</v>
      </c>
      <c r="Q64" s="121">
        <f t="shared" si="41"/>
        <v>1.376893022</v>
      </c>
      <c r="R64" s="121">
        <f t="shared" si="41"/>
        <v>1.441364647</v>
      </c>
      <c r="S64" s="121">
        <f t="shared" si="41"/>
        <v>1.558841605</v>
      </c>
      <c r="T64" s="121">
        <f t="shared" si="41"/>
        <v>1.685064165</v>
      </c>
      <c r="U64" s="121">
        <f t="shared" si="41"/>
        <v>1.820700642</v>
      </c>
      <c r="V64" s="94"/>
      <c r="W64" s="107">
        <f t="shared" si="42"/>
        <v>0.304098953</v>
      </c>
      <c r="X64" s="27"/>
      <c r="Y64" s="94"/>
      <c r="Z64" s="94"/>
      <c r="AA64" s="94"/>
      <c r="AB64" s="94"/>
      <c r="AC64" s="94"/>
    </row>
    <row r="65" ht="15.75" customHeight="1">
      <c r="A65" s="15"/>
      <c r="B65" s="15"/>
      <c r="C65" s="15" t="s">
        <v>47</v>
      </c>
      <c r="D65" s="28"/>
      <c r="E65" s="28"/>
      <c r="F65" s="28"/>
      <c r="G65" s="28"/>
      <c r="H65" s="28"/>
      <c r="I65" s="28"/>
      <c r="J65" s="16"/>
      <c r="K65" s="16"/>
      <c r="L65" s="29">
        <f t="shared" ref="L65:U65" si="43">L64/K64-1</f>
        <v>2.030172512</v>
      </c>
      <c r="M65" s="29">
        <f t="shared" si="43"/>
        <v>-0.1327490384</v>
      </c>
      <c r="N65" s="29">
        <f t="shared" si="43"/>
        <v>0.7337459091</v>
      </c>
      <c r="O65" s="29">
        <f t="shared" si="43"/>
        <v>-0.3283004078</v>
      </c>
      <c r="P65" s="29">
        <f t="shared" si="43"/>
        <v>0.5624280696</v>
      </c>
      <c r="Q65" s="29">
        <f t="shared" si="43"/>
        <v>0.355994535</v>
      </c>
      <c r="R65" s="29">
        <f t="shared" si="43"/>
        <v>0.04682399021</v>
      </c>
      <c r="S65" s="29">
        <f t="shared" si="43"/>
        <v>0.08150398183</v>
      </c>
      <c r="T65" s="29">
        <f t="shared" si="43"/>
        <v>0.0809720243</v>
      </c>
      <c r="U65" s="29">
        <f t="shared" si="43"/>
        <v>0.08049336032</v>
      </c>
      <c r="W65" s="40"/>
      <c r="X65" s="27"/>
    </row>
    <row r="66" ht="15.75" customHeight="1">
      <c r="A66" s="72"/>
      <c r="B66" s="72" t="s">
        <v>55</v>
      </c>
      <c r="C66" s="72"/>
      <c r="D66" s="73"/>
      <c r="E66" s="73"/>
      <c r="F66" s="73"/>
      <c r="G66" s="73"/>
      <c r="H66" s="73"/>
      <c r="I66" s="73"/>
      <c r="J66" s="73"/>
      <c r="K66" s="103">
        <v>0.0</v>
      </c>
      <c r="L66" s="103">
        <v>0.0</v>
      </c>
      <c r="M66" s="103">
        <v>0.0</v>
      </c>
      <c r="N66" s="103">
        <v>0.0</v>
      </c>
      <c r="O66" s="103">
        <v>0.0</v>
      </c>
      <c r="P66" s="103">
        <v>0.05</v>
      </c>
      <c r="Q66" s="103">
        <v>0.05</v>
      </c>
      <c r="R66" s="134">
        <v>0.07</v>
      </c>
      <c r="S66" s="134">
        <v>0.1</v>
      </c>
      <c r="T66" s="134">
        <v>0.1</v>
      </c>
      <c r="U66" s="134">
        <v>0.1</v>
      </c>
      <c r="V66" s="135"/>
      <c r="W66" s="26"/>
      <c r="X66" s="27"/>
      <c r="Y66" s="135"/>
      <c r="Z66" s="135"/>
      <c r="AA66" s="135"/>
      <c r="AB66" s="135"/>
      <c r="AC66" s="135"/>
    </row>
    <row r="67" ht="15.75" customHeight="1">
      <c r="A67" s="119"/>
      <c r="B67" s="119" t="s">
        <v>56</v>
      </c>
      <c r="C67" s="119"/>
      <c r="D67" s="120"/>
      <c r="E67" s="120"/>
      <c r="F67" s="120"/>
      <c r="G67" s="120"/>
      <c r="H67" s="120"/>
      <c r="I67" s="120"/>
      <c r="J67" s="120"/>
      <c r="K67" s="136">
        <v>0.0</v>
      </c>
      <c r="L67" s="136">
        <v>0.0</v>
      </c>
      <c r="M67" s="136">
        <v>0.0</v>
      </c>
      <c r="N67" s="136">
        <v>0.0</v>
      </c>
      <c r="O67" s="136">
        <v>0.0</v>
      </c>
      <c r="P67" s="121">
        <f t="shared" ref="P67:U67" si="44">P64*P66</f>
        <v>0.05077059627</v>
      </c>
      <c r="Q67" s="121">
        <f t="shared" si="44"/>
        <v>0.06884465108</v>
      </c>
      <c r="R67" s="121">
        <f t="shared" si="44"/>
        <v>0.1008955253</v>
      </c>
      <c r="S67" s="121">
        <f t="shared" si="44"/>
        <v>0.1558841605</v>
      </c>
      <c r="T67" s="121">
        <f t="shared" si="44"/>
        <v>0.1685064165</v>
      </c>
      <c r="U67" s="121">
        <f t="shared" si="44"/>
        <v>0.1820700642</v>
      </c>
      <c r="V67" s="137"/>
      <c r="W67" s="138" t="str">
        <f>RRI(3,O67,R67)</f>
        <v>#NUM!</v>
      </c>
      <c r="X67" s="139"/>
      <c r="Y67" s="137"/>
      <c r="Z67" s="137"/>
      <c r="AA67" s="137"/>
      <c r="AB67" s="137"/>
      <c r="AC67" s="137"/>
    </row>
    <row r="68" ht="15.75" customHeight="1">
      <c r="A68" s="15"/>
      <c r="B68" s="15"/>
      <c r="C68" s="15"/>
      <c r="D68" s="28"/>
      <c r="E68" s="28"/>
      <c r="F68" s="28"/>
      <c r="G68" s="28"/>
      <c r="H68" s="28"/>
      <c r="I68" s="28"/>
      <c r="J68" s="28"/>
      <c r="K68" s="16"/>
      <c r="L68" s="16"/>
      <c r="M68" s="16"/>
      <c r="N68" s="16"/>
      <c r="O68" s="16"/>
      <c r="P68" s="16"/>
      <c r="Q68" s="16"/>
      <c r="R68" s="16"/>
      <c r="S68" s="16"/>
      <c r="T68" s="16"/>
      <c r="U68" s="16"/>
    </row>
    <row r="69" ht="15.75" customHeight="1">
      <c r="A69" s="140"/>
      <c r="B69" s="141" t="s">
        <v>57</v>
      </c>
      <c r="C69" s="142"/>
      <c r="D69" s="143"/>
      <c r="E69" s="143"/>
      <c r="F69" s="143"/>
      <c r="G69" s="143"/>
      <c r="H69" s="143"/>
      <c r="I69" s="143"/>
      <c r="J69" s="143"/>
      <c r="K69" s="143"/>
      <c r="L69" s="143"/>
      <c r="M69" s="143"/>
      <c r="N69" s="143"/>
      <c r="O69" s="143"/>
      <c r="P69" s="143"/>
      <c r="Q69" s="143"/>
      <c r="R69" s="143"/>
      <c r="S69" s="143"/>
      <c r="T69" s="143"/>
      <c r="U69" s="143"/>
    </row>
    <row r="70" ht="15.75" customHeight="1" outlineLevel="1">
      <c r="A70" s="15"/>
      <c r="B70" s="15" t="s">
        <v>58</v>
      </c>
      <c r="C70" s="15"/>
      <c r="D70" s="28"/>
      <c r="E70" s="28"/>
      <c r="F70" s="28"/>
      <c r="G70" s="28"/>
      <c r="H70" s="28"/>
      <c r="I70" s="28"/>
      <c r="J70" s="144" t="str">
        <f t="shared" ref="J70:P70" si="45">J23/J7</f>
        <v>#DIV/0!</v>
      </c>
      <c r="K70" s="29">
        <f t="shared" si="45"/>
        <v>0.289276241</v>
      </c>
      <c r="L70" s="29">
        <f t="shared" si="45"/>
        <v>0.1890703277</v>
      </c>
      <c r="M70" s="29">
        <f t="shared" si="45"/>
        <v>0.1803965707</v>
      </c>
      <c r="N70" s="29">
        <f t="shared" si="45"/>
        <v>0.1769447913</v>
      </c>
      <c r="O70" s="29">
        <f t="shared" si="45"/>
        <v>0.1777954086</v>
      </c>
      <c r="P70" s="29">
        <f t="shared" si="45"/>
        <v>0.1443689846</v>
      </c>
      <c r="Q70" s="55">
        <f>P70-0.0015</f>
        <v>0.1428689846</v>
      </c>
      <c r="R70" s="55">
        <f t="shared" ref="R70:U70" si="46">Q70</f>
        <v>0.1428689846</v>
      </c>
      <c r="S70" s="55">
        <f t="shared" si="46"/>
        <v>0.1428689846</v>
      </c>
      <c r="T70" s="55">
        <f t="shared" si="46"/>
        <v>0.1428689846</v>
      </c>
      <c r="U70" s="55">
        <f t="shared" si="46"/>
        <v>0.1428689846</v>
      </c>
    </row>
    <row r="71" ht="15.75" customHeight="1" outlineLevel="1">
      <c r="A71" s="77"/>
      <c r="B71" s="77" t="s">
        <v>59</v>
      </c>
      <c r="C71" s="77"/>
      <c r="D71" s="28"/>
      <c r="E71" s="28"/>
      <c r="F71" s="28"/>
      <c r="G71" s="28"/>
      <c r="H71" s="28"/>
      <c r="I71" s="28"/>
      <c r="J71" s="144"/>
      <c r="K71" s="29"/>
      <c r="L71" s="29">
        <f t="shared" ref="L71:U71" si="47">L27/L7</f>
        <v>-0.1935064438</v>
      </c>
      <c r="M71" s="29">
        <f t="shared" si="47"/>
        <v>-0.1982015422</v>
      </c>
      <c r="N71" s="29">
        <f t="shared" si="47"/>
        <v>-0.1848433853</v>
      </c>
      <c r="O71" s="29">
        <f t="shared" si="47"/>
        <v>-0.2130115425</v>
      </c>
      <c r="P71" s="29">
        <f t="shared" si="47"/>
        <v>-0.241448273</v>
      </c>
      <c r="Q71" s="29">
        <f t="shared" si="47"/>
        <v>-0.2153814705</v>
      </c>
      <c r="R71" s="29">
        <f t="shared" si="47"/>
        <v>-0.2124612767</v>
      </c>
      <c r="S71" s="29">
        <f t="shared" si="47"/>
        <v>-0.2051080044</v>
      </c>
      <c r="T71" s="29">
        <f t="shared" si="47"/>
        <v>-0.1979474445</v>
      </c>
      <c r="U71" s="29">
        <f t="shared" si="47"/>
        <v>-0.1909762945</v>
      </c>
    </row>
    <row r="72" ht="15.75" customHeight="1" outlineLevel="1">
      <c r="A72" s="10"/>
      <c r="B72" s="10" t="s">
        <v>60</v>
      </c>
      <c r="C72" s="89"/>
      <c r="D72" s="28"/>
      <c r="E72" s="28"/>
      <c r="F72" s="28"/>
      <c r="G72" s="28"/>
      <c r="H72" s="28"/>
      <c r="I72" s="28"/>
      <c r="J72" s="144"/>
      <c r="K72" s="29">
        <f t="shared" ref="K72:O72" si="48">K28/K7</f>
        <v>-0.001894657067</v>
      </c>
      <c r="L72" s="29">
        <f t="shared" si="48"/>
        <v>-0.05935217408</v>
      </c>
      <c r="M72" s="29">
        <f t="shared" si="48"/>
        <v>-0.1421045069</v>
      </c>
      <c r="N72" s="29">
        <f t="shared" si="48"/>
        <v>0.1040388687</v>
      </c>
      <c r="O72" s="29">
        <f t="shared" si="48"/>
        <v>-0.03606070688</v>
      </c>
      <c r="P72" s="29"/>
      <c r="Q72" s="55" t="str">
        <f t="shared" ref="Q72:U72" si="49">P72</f>
        <v/>
      </c>
      <c r="R72" s="55" t="str">
        <f t="shared" si="49"/>
        <v/>
      </c>
      <c r="S72" s="55" t="str">
        <f t="shared" si="49"/>
        <v/>
      </c>
      <c r="T72" s="55" t="str">
        <f t="shared" si="49"/>
        <v/>
      </c>
      <c r="U72" s="55" t="str">
        <f t="shared" si="49"/>
        <v/>
      </c>
    </row>
    <row r="73" ht="15.75" customHeight="1" outlineLevel="1">
      <c r="A73" s="10"/>
      <c r="B73" s="10" t="s">
        <v>61</v>
      </c>
      <c r="D73" s="28"/>
      <c r="E73" s="28"/>
      <c r="F73" s="28"/>
      <c r="G73" s="28"/>
      <c r="H73" s="28"/>
      <c r="I73" s="28"/>
      <c r="J73" s="144"/>
      <c r="K73" s="29">
        <f t="shared" ref="K73:P73" si="50">K29/K7</f>
        <v>-0.0971580144</v>
      </c>
      <c r="L73" s="29">
        <f t="shared" si="50"/>
        <v>-0.09419098245</v>
      </c>
      <c r="M73" s="29">
        <f t="shared" si="50"/>
        <v>-0.07620096748</v>
      </c>
      <c r="N73" s="29">
        <f t="shared" si="50"/>
        <v>-0.08685739102</v>
      </c>
      <c r="O73" s="29">
        <f t="shared" si="50"/>
        <v>-0.09213523405</v>
      </c>
      <c r="P73" s="29">
        <f t="shared" si="50"/>
        <v>-0.09537102621</v>
      </c>
      <c r="Q73" s="55">
        <f t="shared" ref="Q73:U73" si="51">P73</f>
        <v>-0.09537102621</v>
      </c>
      <c r="R73" s="55">
        <f t="shared" si="51"/>
        <v>-0.09537102621</v>
      </c>
      <c r="S73" s="55">
        <f t="shared" si="51"/>
        <v>-0.09537102621</v>
      </c>
      <c r="T73" s="55">
        <f t="shared" si="51"/>
        <v>-0.09537102621</v>
      </c>
      <c r="U73" s="55">
        <f t="shared" si="51"/>
        <v>-0.09537102621</v>
      </c>
    </row>
    <row r="74" ht="15.75" customHeight="1" outlineLevel="1">
      <c r="A74" s="89"/>
      <c r="B74" s="85" t="s">
        <v>62</v>
      </c>
      <c r="C74" s="89"/>
      <c r="D74" s="28"/>
      <c r="E74" s="28"/>
      <c r="F74" s="28"/>
      <c r="G74" s="28"/>
      <c r="H74" s="28"/>
      <c r="I74" s="28"/>
      <c r="J74" s="144"/>
      <c r="K74" s="29">
        <f t="shared" ref="K74:Q74" si="52">K30/K7</f>
        <v>-0.1383857522</v>
      </c>
      <c r="L74" s="29">
        <f t="shared" si="52"/>
        <v>-0.09285249914</v>
      </c>
      <c r="M74" s="29">
        <f t="shared" si="52"/>
        <v>-0.1005316347</v>
      </c>
      <c r="N74" s="29">
        <f t="shared" si="52"/>
        <v>-0.1123717496</v>
      </c>
      <c r="O74" s="29">
        <f t="shared" si="52"/>
        <v>-0.1266091675</v>
      </c>
      <c r="P74" s="29">
        <f t="shared" si="52"/>
        <v>-0.1265155619</v>
      </c>
      <c r="Q74" s="29">
        <f t="shared" si="52"/>
        <v>-0.09028553376</v>
      </c>
      <c r="R74" s="55">
        <f t="shared" ref="R74:U74" si="53">Q74</f>
        <v>-0.09028553376</v>
      </c>
      <c r="S74" s="55">
        <f t="shared" si="53"/>
        <v>-0.09028553376</v>
      </c>
      <c r="T74" s="55">
        <f t="shared" si="53"/>
        <v>-0.09028553376</v>
      </c>
      <c r="U74" s="55">
        <f t="shared" si="53"/>
        <v>-0.09028553376</v>
      </c>
      <c r="V74" s="144"/>
    </row>
    <row r="75" ht="15.75" customHeight="1" outlineLevel="1">
      <c r="A75" s="89"/>
      <c r="B75" s="85" t="s">
        <v>63</v>
      </c>
      <c r="C75" s="89"/>
      <c r="D75" s="28"/>
      <c r="E75" s="28"/>
      <c r="F75" s="28"/>
      <c r="G75" s="28"/>
      <c r="H75" s="28"/>
      <c r="I75" s="28"/>
      <c r="J75" s="144"/>
      <c r="K75" s="29">
        <f t="shared" ref="K75:Q75" si="54">K31/K7</f>
        <v>-0.09488442592</v>
      </c>
      <c r="L75" s="29">
        <f t="shared" si="54"/>
        <v>-0.08876056446</v>
      </c>
      <c r="M75" s="29">
        <f t="shared" si="54"/>
        <v>-0.1103237703</v>
      </c>
      <c r="N75" s="29">
        <f t="shared" si="54"/>
        <v>-0.1326475219</v>
      </c>
      <c r="O75" s="29">
        <f t="shared" si="54"/>
        <v>-0.08704220306</v>
      </c>
      <c r="P75" s="29">
        <f t="shared" si="54"/>
        <v>-0.06585142286</v>
      </c>
      <c r="Q75" s="29">
        <f t="shared" si="54"/>
        <v>-0.06167919497</v>
      </c>
      <c r="R75" s="55">
        <f t="shared" ref="R75:U75" si="55">Q75</f>
        <v>-0.06167919497</v>
      </c>
      <c r="S75" s="55">
        <f t="shared" si="55"/>
        <v>-0.06167919497</v>
      </c>
      <c r="T75" s="55">
        <f t="shared" si="55"/>
        <v>-0.06167919497</v>
      </c>
      <c r="U75" s="55">
        <f t="shared" si="55"/>
        <v>-0.06167919497</v>
      </c>
      <c r="V75" s="144"/>
    </row>
    <row r="76" ht="15.75" customHeight="1" outlineLevel="1">
      <c r="A76" s="15"/>
      <c r="B76" s="15" t="s">
        <v>64</v>
      </c>
      <c r="C76" s="15"/>
      <c r="D76" s="28"/>
      <c r="E76" s="28"/>
      <c r="F76" s="28"/>
      <c r="G76" s="28"/>
      <c r="H76" s="28"/>
      <c r="I76" s="28"/>
      <c r="J76" s="144"/>
      <c r="K76" s="29">
        <f t="shared" ref="K76:P76" si="56">K49/K47</f>
        <v>-0.3067092652</v>
      </c>
      <c r="L76" s="29">
        <f t="shared" si="56"/>
        <v>-0.2852646638</v>
      </c>
      <c r="M76" s="29">
        <f t="shared" si="56"/>
        <v>-0.3071094632</v>
      </c>
      <c r="N76" s="29">
        <f t="shared" si="56"/>
        <v>-0.2792609198</v>
      </c>
      <c r="O76" s="29">
        <f t="shared" si="56"/>
        <v>-0.3020459614</v>
      </c>
      <c r="P76" s="29">
        <f t="shared" si="56"/>
        <v>-0.2834189901</v>
      </c>
      <c r="Q76" s="55">
        <f t="shared" ref="Q76:U76" si="57">P76</f>
        <v>-0.2834189901</v>
      </c>
      <c r="R76" s="55">
        <f t="shared" si="57"/>
        <v>-0.2834189901</v>
      </c>
      <c r="S76" s="55">
        <f t="shared" si="57"/>
        <v>-0.2834189901</v>
      </c>
      <c r="T76" s="55">
        <f t="shared" si="57"/>
        <v>-0.2834189901</v>
      </c>
      <c r="U76" s="55">
        <f t="shared" si="57"/>
        <v>-0.2834189901</v>
      </c>
      <c r="V76" s="144"/>
    </row>
    <row r="77" ht="15.75" customHeight="1" outlineLevel="1">
      <c r="A77" s="15"/>
      <c r="B77" s="15" t="s">
        <v>65</v>
      </c>
      <c r="C77" s="15"/>
      <c r="D77" s="28"/>
      <c r="E77" s="28"/>
      <c r="F77" s="28"/>
      <c r="G77" s="28"/>
      <c r="H77" s="28"/>
      <c r="I77" s="28"/>
      <c r="J77" s="144"/>
      <c r="K77" s="29">
        <f t="shared" ref="K77:P77" si="58">K41/K7</f>
        <v>-0.0236453202</v>
      </c>
      <c r="L77" s="29">
        <f t="shared" si="58"/>
        <v>-0.01495277066</v>
      </c>
      <c r="M77" s="29">
        <f t="shared" si="58"/>
        <v>-0.01398534413</v>
      </c>
      <c r="N77" s="29">
        <f t="shared" si="58"/>
        <v>-0.01080288801</v>
      </c>
      <c r="O77" s="29">
        <f t="shared" si="58"/>
        <v>-0.003403885036</v>
      </c>
      <c r="P77" s="29">
        <f t="shared" si="58"/>
        <v>-0.002166576393</v>
      </c>
      <c r="Q77" s="55">
        <f t="shared" ref="Q77:U77" si="59">P77</f>
        <v>-0.002166576393</v>
      </c>
      <c r="R77" s="55">
        <f t="shared" si="59"/>
        <v>-0.002166576393</v>
      </c>
      <c r="S77" s="55">
        <f t="shared" si="59"/>
        <v>-0.002166576393</v>
      </c>
      <c r="T77" s="55">
        <f t="shared" si="59"/>
        <v>-0.002166576393</v>
      </c>
      <c r="U77" s="55">
        <f t="shared" si="59"/>
        <v>-0.002166576393</v>
      </c>
    </row>
    <row r="78" ht="15.75" customHeight="1" outlineLevel="1">
      <c r="A78" s="15"/>
      <c r="B78" s="15" t="s">
        <v>66</v>
      </c>
      <c r="C78" s="15"/>
      <c r="D78" s="28"/>
      <c r="E78" s="28"/>
      <c r="F78" s="28"/>
      <c r="G78" s="28"/>
      <c r="H78" s="28"/>
      <c r="I78" s="28"/>
      <c r="J78" s="144"/>
      <c r="K78" s="29">
        <f t="shared" ref="K78:P78" si="60">K42/K97</f>
        <v>0</v>
      </c>
      <c r="L78" s="29">
        <f t="shared" si="60"/>
        <v>0</v>
      </c>
      <c r="M78" s="29">
        <f t="shared" si="60"/>
        <v>0</v>
      </c>
      <c r="N78" s="29">
        <f t="shared" si="60"/>
        <v>0</v>
      </c>
      <c r="O78" s="29">
        <f t="shared" si="60"/>
        <v>0</v>
      </c>
      <c r="P78" s="29">
        <f t="shared" si="60"/>
        <v>0</v>
      </c>
      <c r="Q78" s="55">
        <f t="shared" ref="Q78:U78" si="61">P78</f>
        <v>0</v>
      </c>
      <c r="R78" s="55">
        <f t="shared" si="61"/>
        <v>0</v>
      </c>
      <c r="S78" s="55">
        <f t="shared" si="61"/>
        <v>0</v>
      </c>
      <c r="T78" s="55">
        <f t="shared" si="61"/>
        <v>0</v>
      </c>
      <c r="U78" s="55">
        <f t="shared" si="61"/>
        <v>0</v>
      </c>
    </row>
    <row r="79" ht="15.75" customHeight="1" outlineLevel="1">
      <c r="A79" s="15"/>
      <c r="B79" s="15" t="s">
        <v>67</v>
      </c>
      <c r="C79" s="15"/>
      <c r="D79" s="28"/>
      <c r="E79" s="28"/>
      <c r="F79" s="28"/>
      <c r="G79" s="28"/>
      <c r="H79" s="28"/>
      <c r="I79" s="28"/>
      <c r="J79" s="144"/>
      <c r="K79" s="29">
        <f t="shared" ref="K79:O79" si="62">K57/K54</f>
        <v>0</v>
      </c>
      <c r="L79" s="29">
        <f t="shared" si="62"/>
        <v>0</v>
      </c>
      <c r="M79" s="29">
        <f t="shared" si="62"/>
        <v>0</v>
      </c>
      <c r="N79" s="29">
        <f t="shared" si="62"/>
        <v>0</v>
      </c>
      <c r="O79" s="29">
        <f t="shared" si="62"/>
        <v>0</v>
      </c>
      <c r="P79" s="29"/>
      <c r="Q79" s="29"/>
      <c r="R79" s="29"/>
      <c r="S79" s="29"/>
      <c r="T79" s="29"/>
      <c r="U79" s="29"/>
      <c r="V79" s="144"/>
    </row>
    <row r="80" ht="15.75" customHeight="1" outlineLevel="1">
      <c r="A80" s="15"/>
      <c r="B80" s="15" t="s">
        <v>68</v>
      </c>
      <c r="C80" s="15"/>
      <c r="D80" s="28"/>
      <c r="E80" s="28"/>
      <c r="F80" s="28"/>
      <c r="G80" s="28"/>
      <c r="H80" s="28"/>
      <c r="I80" s="28"/>
      <c r="J80" s="144" t="str">
        <f t="shared" ref="J80:U80" si="63">J38</f>
        <v/>
      </c>
      <c r="K80" s="29">
        <f t="shared" si="63"/>
        <v>0.1896930656</v>
      </c>
      <c r="L80" s="29">
        <f t="shared" si="63"/>
        <v>0.2822670083</v>
      </c>
      <c r="M80" s="29">
        <f t="shared" si="63"/>
        <v>0.1922410077</v>
      </c>
      <c r="N80" s="29">
        <f t="shared" si="63"/>
        <v>0.4103740296</v>
      </c>
      <c r="O80" s="29">
        <f t="shared" si="63"/>
        <v>0.2673457375</v>
      </c>
      <c r="P80" s="29">
        <f t="shared" si="63"/>
        <v>0.3264447315</v>
      </c>
      <c r="Q80" s="29">
        <f t="shared" si="63"/>
        <v>0.3944137899</v>
      </c>
      <c r="R80" s="29">
        <f t="shared" si="63"/>
        <v>0.3973339838</v>
      </c>
      <c r="S80" s="29">
        <f t="shared" si="63"/>
        <v>0.4046872561</v>
      </c>
      <c r="T80" s="29">
        <f t="shared" si="63"/>
        <v>0.4118478159</v>
      </c>
      <c r="U80" s="29">
        <f t="shared" si="63"/>
        <v>0.4188189659</v>
      </c>
    </row>
    <row r="81" ht="15.75" customHeight="1" outlineLevel="1">
      <c r="A81" s="15"/>
      <c r="B81" s="15" t="s">
        <v>69</v>
      </c>
      <c r="C81" s="15"/>
      <c r="D81" s="28"/>
      <c r="E81" s="28"/>
      <c r="F81" s="28"/>
      <c r="G81" s="28"/>
      <c r="H81" s="28"/>
      <c r="I81" s="28"/>
      <c r="J81" s="28"/>
      <c r="K81" s="145" t="str">
        <f>(K61/J61)</f>
        <v>#DIV/0!</v>
      </c>
      <c r="L81" s="145">
        <f t="shared" ref="L81:N81" si="64">L61/K61</f>
        <v>1.085418705</v>
      </c>
      <c r="M81" s="145">
        <f t="shared" si="64"/>
        <v>1.190365791</v>
      </c>
      <c r="N81" s="145">
        <f t="shared" si="64"/>
        <v>1.18653971</v>
      </c>
      <c r="O81" s="145">
        <v>1.01</v>
      </c>
      <c r="P81" s="145">
        <v>1.01</v>
      </c>
      <c r="Q81" s="145">
        <v>1.0</v>
      </c>
      <c r="R81" s="145">
        <v>1.0</v>
      </c>
      <c r="S81" s="145">
        <v>1.0</v>
      </c>
      <c r="T81" s="145">
        <v>1.0</v>
      </c>
      <c r="U81" s="145">
        <v>1.0</v>
      </c>
    </row>
    <row r="82" ht="15.75" customHeight="1">
      <c r="A82" s="146"/>
      <c r="B82" s="146"/>
      <c r="C82" s="146"/>
      <c r="D82" s="146"/>
      <c r="E82" s="146"/>
      <c r="F82" s="146"/>
      <c r="G82" s="146"/>
      <c r="H82" s="146"/>
      <c r="I82" s="146"/>
      <c r="J82" s="146"/>
      <c r="K82" s="146"/>
      <c r="L82" s="146"/>
      <c r="M82" s="146"/>
      <c r="N82" s="146"/>
      <c r="O82" s="146"/>
      <c r="P82" s="146"/>
      <c r="Q82" s="146"/>
      <c r="R82" s="146"/>
      <c r="S82" s="146"/>
      <c r="T82" s="146"/>
      <c r="U82" s="146"/>
    </row>
    <row r="83" ht="15.75" customHeight="1">
      <c r="A83" s="147"/>
      <c r="B83" s="148" t="s">
        <v>70</v>
      </c>
      <c r="C83" s="14"/>
      <c r="D83" s="14"/>
      <c r="E83" s="14"/>
      <c r="F83" s="14"/>
      <c r="G83" s="14"/>
      <c r="H83" s="14"/>
      <c r="I83" s="14"/>
      <c r="J83" s="14"/>
      <c r="K83" s="14"/>
      <c r="L83" s="14"/>
      <c r="M83" s="14"/>
      <c r="N83" s="14"/>
      <c r="O83" s="14"/>
      <c r="P83" s="14"/>
      <c r="Q83" s="14"/>
      <c r="R83" s="14"/>
      <c r="S83" s="14"/>
      <c r="T83" s="147"/>
      <c r="U83" s="147"/>
    </row>
    <row r="84" ht="15.75" customHeight="1">
      <c r="A84" s="15"/>
      <c r="B84" s="15"/>
      <c r="C84" s="15"/>
      <c r="D84" s="28"/>
      <c r="E84" s="28"/>
      <c r="F84" s="28"/>
      <c r="G84" s="28"/>
      <c r="H84" s="28"/>
      <c r="I84" s="28"/>
      <c r="J84" s="28"/>
      <c r="K84" s="28"/>
      <c r="L84" s="28"/>
      <c r="M84" s="28"/>
      <c r="N84" s="28"/>
      <c r="O84" s="28"/>
      <c r="P84" s="28"/>
      <c r="Q84" s="28"/>
      <c r="R84" s="28"/>
      <c r="S84" s="28"/>
      <c r="T84" s="28"/>
      <c r="U84" s="28"/>
    </row>
    <row r="85" ht="15.75" customHeight="1">
      <c r="A85" s="15"/>
      <c r="B85" s="15"/>
      <c r="C85" s="15"/>
      <c r="D85" s="28"/>
      <c r="E85" s="28"/>
      <c r="F85" s="28"/>
      <c r="G85" s="28"/>
      <c r="H85" s="28"/>
      <c r="I85" s="28"/>
      <c r="J85" s="28"/>
      <c r="K85" s="28"/>
      <c r="L85" s="28"/>
      <c r="M85" s="28"/>
      <c r="N85" s="28"/>
      <c r="O85" s="28"/>
      <c r="P85" s="28"/>
      <c r="Q85" s="28"/>
      <c r="R85" s="28"/>
      <c r="S85" s="28"/>
      <c r="T85" s="28"/>
      <c r="U85" s="28"/>
    </row>
    <row r="86" ht="15.75" customHeight="1">
      <c r="A86" s="149"/>
      <c r="B86" s="150"/>
      <c r="C86" s="150"/>
      <c r="D86" s="151"/>
      <c r="E86" s="151"/>
      <c r="F86" s="151"/>
      <c r="G86" s="151"/>
      <c r="H86" s="151"/>
      <c r="I86" s="151"/>
      <c r="J86" s="151"/>
      <c r="K86" s="17">
        <v>2019.0</v>
      </c>
      <c r="L86" s="17">
        <v>2020.0</v>
      </c>
      <c r="M86" s="17">
        <v>2021.0</v>
      </c>
      <c r="N86" s="17">
        <v>2022.0</v>
      </c>
      <c r="O86" s="17">
        <v>2023.0</v>
      </c>
      <c r="P86" s="18" t="s">
        <v>71</v>
      </c>
      <c r="Q86" s="18" t="s">
        <v>5</v>
      </c>
      <c r="R86" s="18" t="s">
        <v>6</v>
      </c>
      <c r="S86" s="18" t="s">
        <v>7</v>
      </c>
      <c r="T86" s="18" t="s">
        <v>8</v>
      </c>
      <c r="U86" s="18" t="s">
        <v>9</v>
      </c>
    </row>
    <row r="87" ht="15.75" customHeight="1">
      <c r="A87" s="15"/>
      <c r="B87" s="152" t="s">
        <v>72</v>
      </c>
      <c r="C87" s="153"/>
      <c r="D87" s="154"/>
      <c r="E87" s="154"/>
      <c r="F87" s="154"/>
      <c r="G87" s="154"/>
      <c r="H87" s="154"/>
      <c r="I87" s="154"/>
      <c r="J87" s="155"/>
      <c r="K87" s="156">
        <v>468.62</v>
      </c>
      <c r="L87" s="156">
        <v>1255.12</v>
      </c>
      <c r="M87" s="156">
        <v>1618.25</v>
      </c>
      <c r="N87" s="156">
        <v>2227.01</v>
      </c>
      <c r="O87" s="157">
        <v>2710.7</v>
      </c>
      <c r="P87" s="158">
        <v>3312.97</v>
      </c>
      <c r="Q87" s="158">
        <f t="shared" ref="Q87:U87" si="65">Q172</f>
        <v>3998.260285</v>
      </c>
      <c r="R87" s="159">
        <f t="shared" si="65"/>
        <v>4708.282208</v>
      </c>
      <c r="S87" s="159">
        <f t="shared" si="65"/>
        <v>5459.91792</v>
      </c>
      <c r="T87" s="159">
        <f t="shared" si="65"/>
        <v>6261.12576</v>
      </c>
      <c r="U87" s="159">
        <f t="shared" si="65"/>
        <v>7115.3529</v>
      </c>
    </row>
    <row r="88" ht="15.75" customHeight="1" outlineLevel="1">
      <c r="A88" s="57"/>
      <c r="B88" s="57" t="s">
        <v>73</v>
      </c>
      <c r="C88" s="57"/>
      <c r="D88" s="160"/>
      <c r="E88" s="160"/>
      <c r="F88" s="160"/>
      <c r="G88" s="160"/>
      <c r="H88" s="160"/>
      <c r="I88" s="160"/>
      <c r="J88" s="161"/>
      <c r="K88" s="162">
        <v>411.06</v>
      </c>
      <c r="L88" s="162">
        <v>880.97</v>
      </c>
      <c r="M88" s="162">
        <v>1379.95</v>
      </c>
      <c r="N88" s="162">
        <v>980.38</v>
      </c>
      <c r="O88" s="163">
        <v>987.76</v>
      </c>
      <c r="P88" s="164">
        <v>1232.82</v>
      </c>
      <c r="Q88" s="164">
        <f t="shared" ref="Q88:U88" si="66">Q7*Q113</f>
        <v>1382.023529</v>
      </c>
      <c r="R88" s="164">
        <f t="shared" si="66"/>
        <v>1436.044352</v>
      </c>
      <c r="S88" s="164">
        <f t="shared" si="66"/>
        <v>1524.715784</v>
      </c>
      <c r="T88" s="164">
        <f t="shared" si="66"/>
        <v>1619.367695</v>
      </c>
      <c r="U88" s="164">
        <f t="shared" si="66"/>
        <v>1720.44096</v>
      </c>
    </row>
    <row r="89" ht="15.75" customHeight="1" outlineLevel="1">
      <c r="A89" s="165"/>
      <c r="B89" s="166" t="s">
        <v>74</v>
      </c>
      <c r="C89" s="166"/>
      <c r="D89" s="167"/>
      <c r="E89" s="167"/>
      <c r="F89" s="167"/>
      <c r="G89" s="167"/>
      <c r="H89" s="167"/>
      <c r="I89" s="167"/>
      <c r="J89" s="161"/>
      <c r="K89" s="131"/>
      <c r="L89" s="131"/>
      <c r="M89" s="131"/>
      <c r="N89" s="131"/>
      <c r="O89" s="131"/>
      <c r="P89" s="168">
        <f>P7*P115</f>
        <v>0</v>
      </c>
      <c r="Q89" s="168">
        <f t="shared" ref="Q89:U89" si="67">Q7*Q114</f>
        <v>0</v>
      </c>
      <c r="R89" s="168">
        <f t="shared" si="67"/>
        <v>0</v>
      </c>
      <c r="S89" s="168">
        <f t="shared" si="67"/>
        <v>0</v>
      </c>
      <c r="T89" s="168">
        <f t="shared" si="67"/>
        <v>0</v>
      </c>
      <c r="U89" s="168">
        <f t="shared" si="67"/>
        <v>0</v>
      </c>
      <c r="V89" s="169"/>
      <c r="W89" s="169"/>
    </row>
    <row r="90" ht="15.75" customHeight="1" outlineLevel="1">
      <c r="A90" s="15"/>
      <c r="B90" s="170" t="s">
        <v>75</v>
      </c>
      <c r="C90" s="15"/>
      <c r="D90" s="28"/>
      <c r="E90" s="28"/>
      <c r="F90" s="28"/>
      <c r="G90" s="28"/>
      <c r="H90" s="28"/>
      <c r="I90" s="28"/>
      <c r="J90" s="171"/>
      <c r="K90" s="16"/>
      <c r="L90" s="16"/>
      <c r="M90" s="16"/>
      <c r="N90" s="16"/>
      <c r="O90" s="16"/>
      <c r="P90" s="164"/>
      <c r="Q90" s="164">
        <f t="shared" ref="Q90:U90" si="68">Q7*Q115</f>
        <v>0</v>
      </c>
      <c r="R90" s="164">
        <f t="shared" si="68"/>
        <v>0</v>
      </c>
      <c r="S90" s="164">
        <f t="shared" si="68"/>
        <v>0</v>
      </c>
      <c r="T90" s="164">
        <f t="shared" si="68"/>
        <v>0</v>
      </c>
      <c r="U90" s="164">
        <f t="shared" si="68"/>
        <v>0</v>
      </c>
    </row>
    <row r="91" ht="15.75" customHeight="1" outlineLevel="1">
      <c r="A91" s="57"/>
      <c r="B91" s="57" t="s">
        <v>76</v>
      </c>
      <c r="C91" s="57"/>
      <c r="D91" s="160"/>
      <c r="E91" s="160"/>
      <c r="F91" s="160"/>
      <c r="G91" s="160"/>
      <c r="H91" s="160"/>
      <c r="I91" s="160"/>
      <c r="J91" s="161"/>
      <c r="K91" s="162">
        <v>956.36</v>
      </c>
      <c r="L91" s="162">
        <v>2099.69</v>
      </c>
      <c r="M91" s="162">
        <v>2814.25</v>
      </c>
      <c r="N91" s="162">
        <v>3205.19</v>
      </c>
      <c r="O91" s="163">
        <v>3611.59</v>
      </c>
      <c r="P91" s="164">
        <v>4300.37</v>
      </c>
      <c r="Q91" s="164">
        <f t="shared" ref="Q91:U91" si="69">Q7*Q116</f>
        <v>4820.827471</v>
      </c>
      <c r="R91" s="164">
        <f t="shared" si="69"/>
        <v>5009.264978</v>
      </c>
      <c r="S91" s="164">
        <f t="shared" si="69"/>
        <v>5318.572069</v>
      </c>
      <c r="T91" s="164">
        <f t="shared" si="69"/>
        <v>5648.740495</v>
      </c>
      <c r="U91" s="164">
        <f t="shared" si="69"/>
        <v>6001.308133</v>
      </c>
      <c r="V91" s="61"/>
      <c r="W91" s="61"/>
      <c r="X91" s="61"/>
      <c r="Y91" s="61"/>
      <c r="Z91" s="61"/>
      <c r="AA91" s="61"/>
      <c r="AB91" s="61"/>
      <c r="AC91" s="61"/>
    </row>
    <row r="92" ht="15.75" customHeight="1" outlineLevel="1">
      <c r="A92" s="15"/>
      <c r="B92" s="15" t="s">
        <v>77</v>
      </c>
      <c r="C92" s="15"/>
      <c r="D92" s="28"/>
      <c r="E92" s="28"/>
      <c r="F92" s="28"/>
      <c r="G92" s="28"/>
      <c r="H92" s="28"/>
      <c r="I92" s="28"/>
      <c r="J92" s="172"/>
      <c r="K92" s="173">
        <v>10.55</v>
      </c>
      <c r="L92" s="173">
        <v>39.07</v>
      </c>
      <c r="M92" s="173">
        <v>33.99</v>
      </c>
      <c r="N92" s="173">
        <v>22.69</v>
      </c>
      <c r="O92" s="88">
        <v>41.08</v>
      </c>
      <c r="P92" s="174">
        <v>76.8</v>
      </c>
      <c r="Q92" s="174">
        <f t="shared" ref="Q92:U92" si="70">Q7*Q117</f>
        <v>86.09481272</v>
      </c>
      <c r="R92" s="174">
        <f t="shared" si="70"/>
        <v>89.46010467</v>
      </c>
      <c r="S92" s="174">
        <f t="shared" si="70"/>
        <v>94.98399787</v>
      </c>
      <c r="T92" s="174">
        <f t="shared" si="70"/>
        <v>100.8804521</v>
      </c>
      <c r="U92" s="174">
        <f t="shared" si="70"/>
        <v>107.1769324</v>
      </c>
    </row>
    <row r="93" ht="15.75" customHeight="1">
      <c r="A93" s="119"/>
      <c r="B93" s="119" t="s">
        <v>78</v>
      </c>
      <c r="C93" s="119"/>
      <c r="D93" s="120"/>
      <c r="E93" s="120"/>
      <c r="F93" s="120"/>
      <c r="G93" s="120"/>
      <c r="H93" s="120"/>
      <c r="I93" s="120"/>
      <c r="J93" s="120"/>
      <c r="K93" s="121">
        <f t="shared" ref="K93:U93" si="71">K88+K89+K90-K91-K92</f>
        <v>-555.85</v>
      </c>
      <c r="L93" s="121">
        <f t="shared" si="71"/>
        <v>-1257.79</v>
      </c>
      <c r="M93" s="121">
        <f t="shared" si="71"/>
        <v>-1468.29</v>
      </c>
      <c r="N93" s="121">
        <f t="shared" si="71"/>
        <v>-2247.5</v>
      </c>
      <c r="O93" s="121">
        <f t="shared" si="71"/>
        <v>-2664.91</v>
      </c>
      <c r="P93" s="121">
        <f t="shared" si="71"/>
        <v>-3144.35</v>
      </c>
      <c r="Q93" s="121">
        <f t="shared" si="71"/>
        <v>-3524.898755</v>
      </c>
      <c r="R93" s="121">
        <f t="shared" si="71"/>
        <v>-3662.680731</v>
      </c>
      <c r="S93" s="121">
        <f t="shared" si="71"/>
        <v>-3888.840282</v>
      </c>
      <c r="T93" s="121">
        <f t="shared" si="71"/>
        <v>-4130.253251</v>
      </c>
      <c r="U93" s="121">
        <f t="shared" si="71"/>
        <v>-4388.044105</v>
      </c>
      <c r="V93" s="137"/>
      <c r="W93" s="137"/>
      <c r="X93" s="137"/>
      <c r="Y93" s="137"/>
      <c r="Z93" s="137"/>
      <c r="AA93" s="137"/>
      <c r="AB93" s="137"/>
      <c r="AC93" s="137"/>
    </row>
    <row r="94" ht="15.75" customHeight="1">
      <c r="A94" s="175"/>
      <c r="B94" s="175"/>
      <c r="C94" s="175" t="s">
        <v>79</v>
      </c>
      <c r="D94" s="176"/>
      <c r="E94" s="176"/>
      <c r="F94" s="176"/>
      <c r="G94" s="176"/>
      <c r="H94" s="176"/>
      <c r="I94" s="176"/>
      <c r="J94" s="177"/>
      <c r="K94" s="178">
        <f t="shared" ref="K94:U94" si="72">K93/K7</f>
        <v>-4.212580523</v>
      </c>
      <c r="L94" s="178">
        <f t="shared" si="72"/>
        <v>-4.81008834</v>
      </c>
      <c r="M94" s="178">
        <f t="shared" si="72"/>
        <v>-3.516188515</v>
      </c>
      <c r="N94" s="178">
        <f t="shared" si="72"/>
        <v>-6.100374572</v>
      </c>
      <c r="O94" s="178">
        <f t="shared" si="72"/>
        <v>-6.820336294</v>
      </c>
      <c r="P94" s="178">
        <f t="shared" si="72"/>
        <v>-6.550456231</v>
      </c>
      <c r="Q94" s="178">
        <f t="shared" si="72"/>
        <v>-6.550456231</v>
      </c>
      <c r="R94" s="178">
        <f t="shared" si="72"/>
        <v>-6.550456231</v>
      </c>
      <c r="S94" s="178">
        <f t="shared" si="72"/>
        <v>-6.550456231</v>
      </c>
      <c r="T94" s="178">
        <f t="shared" si="72"/>
        <v>-6.550456231</v>
      </c>
      <c r="U94" s="178">
        <f t="shared" si="72"/>
        <v>-6.550456231</v>
      </c>
      <c r="V94" s="179"/>
      <c r="W94" s="179"/>
      <c r="X94" s="179"/>
      <c r="Y94" s="179"/>
      <c r="Z94" s="179"/>
      <c r="AA94" s="179"/>
      <c r="AB94" s="179"/>
      <c r="AC94" s="179"/>
    </row>
    <row r="95" ht="15.75" customHeight="1">
      <c r="A95" s="15"/>
      <c r="B95" s="15"/>
      <c r="C95" s="15"/>
      <c r="D95" s="28"/>
      <c r="E95" s="28"/>
      <c r="F95" s="28"/>
      <c r="G95" s="28"/>
      <c r="H95" s="28"/>
      <c r="I95" s="28"/>
      <c r="J95" s="171"/>
      <c r="K95" s="180"/>
      <c r="L95" s="180"/>
      <c r="M95" s="180"/>
      <c r="N95" s="180"/>
      <c r="O95" s="180"/>
      <c r="P95" s="180"/>
      <c r="Q95" s="180"/>
      <c r="R95" s="180"/>
      <c r="S95" s="180"/>
      <c r="T95" s="180"/>
      <c r="U95" s="180"/>
    </row>
    <row r="96" ht="15.75" customHeight="1">
      <c r="A96" s="15"/>
      <c r="B96" s="15"/>
      <c r="C96" s="15"/>
      <c r="D96" s="28"/>
      <c r="E96" s="28"/>
      <c r="F96" s="28"/>
      <c r="G96" s="28"/>
      <c r="H96" s="28"/>
      <c r="I96" s="28"/>
      <c r="J96" s="171"/>
      <c r="K96" s="180"/>
      <c r="L96" s="180"/>
      <c r="M96" s="180"/>
      <c r="N96" s="180"/>
      <c r="O96" s="180"/>
      <c r="P96" s="180"/>
      <c r="Q96" s="180"/>
      <c r="R96" s="180"/>
      <c r="S96" s="180"/>
      <c r="T96" s="180"/>
      <c r="U96" s="180"/>
    </row>
    <row r="97" ht="15.75" customHeight="1">
      <c r="A97" s="122"/>
      <c r="B97" s="181" t="s">
        <v>80</v>
      </c>
      <c r="C97" s="182"/>
      <c r="D97" s="183"/>
      <c r="E97" s="183"/>
      <c r="F97" s="183"/>
      <c r="G97" s="183"/>
      <c r="H97" s="183"/>
      <c r="I97" s="183"/>
      <c r="J97" s="183"/>
      <c r="K97" s="184">
        <v>13.5</v>
      </c>
      <c r="L97" s="184">
        <v>28.66</v>
      </c>
      <c r="M97" s="184">
        <v>29.15</v>
      </c>
      <c r="N97" s="184">
        <v>45.96</v>
      </c>
      <c r="O97" s="184">
        <v>45.51</v>
      </c>
      <c r="P97" s="185">
        <v>50.03</v>
      </c>
      <c r="Q97" s="185">
        <f t="shared" ref="Q97:U97" si="73">Q7*Q126</f>
        <v>56.08494115</v>
      </c>
      <c r="R97" s="186">
        <f t="shared" si="73"/>
        <v>58.277201</v>
      </c>
      <c r="S97" s="186">
        <f t="shared" si="73"/>
        <v>61.8756434</v>
      </c>
      <c r="T97" s="186">
        <f t="shared" si="73"/>
        <v>65.71678413</v>
      </c>
      <c r="U97" s="186">
        <f t="shared" si="73"/>
        <v>69.81851466</v>
      </c>
      <c r="V97" s="94"/>
      <c r="W97" s="94"/>
      <c r="X97" s="94"/>
      <c r="Y97" s="94"/>
      <c r="Z97" s="94"/>
      <c r="AA97" s="94"/>
      <c r="AB97" s="94"/>
      <c r="AC97" s="94"/>
    </row>
    <row r="98" ht="15.75" customHeight="1">
      <c r="A98" s="122"/>
      <c r="B98" s="187" t="s">
        <v>81</v>
      </c>
      <c r="C98" s="188"/>
      <c r="D98" s="189"/>
      <c r="E98" s="189"/>
      <c r="F98" s="189"/>
      <c r="G98" s="189"/>
      <c r="H98" s="189"/>
      <c r="I98" s="189"/>
      <c r="J98" s="189"/>
      <c r="K98" s="190">
        <v>26.41</v>
      </c>
      <c r="L98" s="190">
        <v>64.95</v>
      </c>
      <c r="M98" s="190">
        <v>55.18</v>
      </c>
      <c r="N98" s="190">
        <v>71.93</v>
      </c>
      <c r="O98" s="190">
        <v>46.01</v>
      </c>
      <c r="P98" s="191">
        <v>105.0</v>
      </c>
      <c r="Q98" s="191">
        <f t="shared" ref="Q98:U98" si="74">P98+Q157</f>
        <v>105</v>
      </c>
      <c r="R98" s="192">
        <f t="shared" si="74"/>
        <v>105</v>
      </c>
      <c r="S98" s="192">
        <f t="shared" si="74"/>
        <v>105</v>
      </c>
      <c r="T98" s="192">
        <f t="shared" si="74"/>
        <v>105</v>
      </c>
      <c r="U98" s="192">
        <f t="shared" si="74"/>
        <v>105</v>
      </c>
      <c r="V98" s="94"/>
      <c r="W98" s="94"/>
      <c r="X98" s="94"/>
      <c r="Y98" s="94"/>
      <c r="Z98" s="94"/>
      <c r="AA98" s="94"/>
      <c r="AB98" s="94"/>
      <c r="AC98" s="94"/>
    </row>
    <row r="99" ht="15.75" customHeight="1">
      <c r="A99" s="122"/>
      <c r="B99" s="187" t="s">
        <v>82</v>
      </c>
      <c r="C99" s="188"/>
      <c r="D99" s="189"/>
      <c r="E99" s="189"/>
      <c r="F99" s="189"/>
      <c r="G99" s="189"/>
      <c r="H99" s="189"/>
      <c r="I99" s="189"/>
      <c r="J99" s="189"/>
      <c r="K99" s="193">
        <f t="shared" ref="K99:U99" si="75">K97+K98</f>
        <v>39.91</v>
      </c>
      <c r="L99" s="193">
        <f t="shared" si="75"/>
        <v>93.61</v>
      </c>
      <c r="M99" s="193">
        <f t="shared" si="75"/>
        <v>84.33</v>
      </c>
      <c r="N99" s="193">
        <f t="shared" si="75"/>
        <v>117.89</v>
      </c>
      <c r="O99" s="193">
        <f t="shared" si="75"/>
        <v>91.52</v>
      </c>
      <c r="P99" s="191">
        <f t="shared" si="75"/>
        <v>155.03</v>
      </c>
      <c r="Q99" s="191">
        <f t="shared" si="75"/>
        <v>161.0849411</v>
      </c>
      <c r="R99" s="192">
        <f t="shared" si="75"/>
        <v>163.277201</v>
      </c>
      <c r="S99" s="192">
        <f t="shared" si="75"/>
        <v>166.8756434</v>
      </c>
      <c r="T99" s="192">
        <f t="shared" si="75"/>
        <v>170.7167841</v>
      </c>
      <c r="U99" s="192">
        <f t="shared" si="75"/>
        <v>174.8185147</v>
      </c>
      <c r="V99" s="94"/>
      <c r="W99" s="94"/>
      <c r="X99" s="94"/>
      <c r="Y99" s="94"/>
      <c r="Z99" s="94"/>
      <c r="AA99" s="94"/>
      <c r="AB99" s="94"/>
      <c r="AC99" s="94"/>
    </row>
    <row r="100" ht="15.75" customHeight="1">
      <c r="A100" s="15"/>
      <c r="B100" s="15"/>
      <c r="C100" s="15"/>
      <c r="D100" s="28"/>
      <c r="E100" s="28"/>
      <c r="F100" s="28"/>
      <c r="G100" s="28"/>
      <c r="H100" s="28"/>
      <c r="I100" s="28"/>
      <c r="J100" s="171"/>
      <c r="K100" s="16"/>
      <c r="L100" s="16"/>
      <c r="M100" s="16"/>
      <c r="N100" s="16"/>
      <c r="O100" s="16"/>
      <c r="P100" s="180"/>
      <c r="Q100" s="180"/>
      <c r="R100" s="180"/>
      <c r="S100" s="180"/>
      <c r="T100" s="180"/>
      <c r="U100" s="180"/>
    </row>
    <row r="101" ht="15.75" customHeight="1">
      <c r="A101" s="15"/>
      <c r="B101" s="15"/>
      <c r="C101" s="15"/>
      <c r="D101" s="28"/>
      <c r="E101" s="28"/>
      <c r="F101" s="28"/>
      <c r="G101" s="28"/>
      <c r="H101" s="28"/>
      <c r="I101" s="28"/>
      <c r="J101" s="171"/>
      <c r="K101" s="180"/>
      <c r="L101" s="180"/>
      <c r="M101" s="180"/>
      <c r="N101" s="180"/>
      <c r="O101" s="180"/>
      <c r="P101" s="180"/>
      <c r="Q101" s="180"/>
      <c r="R101" s="180"/>
      <c r="S101" s="180"/>
      <c r="T101" s="180"/>
      <c r="U101" s="180"/>
    </row>
    <row r="102" ht="15.75" customHeight="1">
      <c r="A102" s="119"/>
      <c r="B102" s="194" t="s">
        <v>83</v>
      </c>
      <c r="C102" s="195"/>
      <c r="D102" s="196"/>
      <c r="E102" s="196"/>
      <c r="F102" s="196"/>
      <c r="G102" s="196"/>
      <c r="H102" s="196"/>
      <c r="I102" s="196"/>
      <c r="J102" s="197"/>
      <c r="K102" s="198">
        <v>181.69</v>
      </c>
      <c r="L102" s="198">
        <v>445.31</v>
      </c>
      <c r="M102" s="198">
        <v>498.85</v>
      </c>
      <c r="N102" s="198">
        <v>607.62</v>
      </c>
      <c r="O102" s="198">
        <v>673.62</v>
      </c>
      <c r="P102" s="199">
        <v>754.65</v>
      </c>
      <c r="Q102" s="199">
        <f t="shared" ref="Q102:U102" si="76">P102+Q58+Q160+Q159</f>
        <v>898.3391135</v>
      </c>
      <c r="R102" s="199">
        <f t="shared" si="76"/>
        <v>1045.589647</v>
      </c>
      <c r="S102" s="199">
        <f t="shared" si="76"/>
        <v>1199.704522</v>
      </c>
      <c r="T102" s="199">
        <f t="shared" si="76"/>
        <v>1366.29839</v>
      </c>
      <c r="U102" s="200">
        <f t="shared" si="76"/>
        <v>1546.301959</v>
      </c>
      <c r="V102" s="137"/>
      <c r="W102" s="137"/>
      <c r="X102" s="137"/>
      <c r="Y102" s="137"/>
      <c r="Z102" s="137"/>
      <c r="AA102" s="137"/>
      <c r="AB102" s="137"/>
      <c r="AC102" s="137"/>
    </row>
    <row r="103" ht="15.75" customHeight="1">
      <c r="A103" s="122"/>
      <c r="B103" s="201" t="s">
        <v>84</v>
      </c>
      <c r="C103" s="122"/>
      <c r="D103" s="123"/>
      <c r="E103" s="123"/>
      <c r="F103" s="123"/>
      <c r="G103" s="123"/>
      <c r="H103" s="123"/>
      <c r="I103" s="123"/>
      <c r="J103" s="202"/>
      <c r="K103" s="82">
        <v>0.51</v>
      </c>
      <c r="L103" s="82">
        <v>0.53</v>
      </c>
      <c r="M103" s="82">
        <v>0.54</v>
      </c>
      <c r="N103" s="82">
        <v>0.65</v>
      </c>
      <c r="O103" s="88"/>
      <c r="P103" s="113">
        <f t="shared" ref="P103:U103" si="77">O103-P57</f>
        <v>0</v>
      </c>
      <c r="Q103" s="113">
        <f t="shared" si="77"/>
        <v>0</v>
      </c>
      <c r="R103" s="113">
        <f t="shared" si="77"/>
        <v>0</v>
      </c>
      <c r="S103" s="113">
        <f t="shared" si="77"/>
        <v>0</v>
      </c>
      <c r="T103" s="113">
        <f t="shared" si="77"/>
        <v>0</v>
      </c>
      <c r="U103" s="203">
        <f t="shared" si="77"/>
        <v>0</v>
      </c>
      <c r="V103" s="204"/>
      <c r="W103" s="204"/>
      <c r="X103" s="204"/>
      <c r="Y103" s="204"/>
      <c r="Z103" s="204"/>
      <c r="AA103" s="204"/>
      <c r="AB103" s="204"/>
      <c r="AC103" s="204"/>
    </row>
    <row r="104" ht="15.75" customHeight="1">
      <c r="A104" s="97"/>
      <c r="B104" s="205" t="s">
        <v>85</v>
      </c>
      <c r="C104" s="97"/>
      <c r="D104" s="206"/>
      <c r="E104" s="206"/>
      <c r="F104" s="206"/>
      <c r="G104" s="206"/>
      <c r="H104" s="206"/>
      <c r="I104" s="206"/>
      <c r="J104" s="207"/>
      <c r="K104" s="208">
        <f t="shared" ref="K104:U104" si="78">K102+K103</f>
        <v>182.2</v>
      </c>
      <c r="L104" s="208">
        <f t="shared" si="78"/>
        <v>445.84</v>
      </c>
      <c r="M104" s="208">
        <f t="shared" si="78"/>
        <v>499.39</v>
      </c>
      <c r="N104" s="208">
        <f t="shared" si="78"/>
        <v>608.27</v>
      </c>
      <c r="O104" s="208">
        <f t="shared" si="78"/>
        <v>673.62</v>
      </c>
      <c r="P104" s="209">
        <f t="shared" si="78"/>
        <v>754.65</v>
      </c>
      <c r="Q104" s="209">
        <f t="shared" si="78"/>
        <v>898.3391135</v>
      </c>
      <c r="R104" s="209">
        <f t="shared" si="78"/>
        <v>1045.589647</v>
      </c>
      <c r="S104" s="209">
        <f t="shared" si="78"/>
        <v>1199.704522</v>
      </c>
      <c r="T104" s="209">
        <f t="shared" si="78"/>
        <v>1366.29839</v>
      </c>
      <c r="U104" s="210">
        <f t="shared" si="78"/>
        <v>1546.301959</v>
      </c>
      <c r="V104" s="211"/>
      <c r="W104" s="211"/>
      <c r="X104" s="211"/>
      <c r="Y104" s="211"/>
      <c r="Z104" s="211"/>
      <c r="AA104" s="211"/>
      <c r="AB104" s="211"/>
      <c r="AC104" s="211"/>
    </row>
    <row r="105" ht="15.75" customHeight="1">
      <c r="A105" s="72"/>
      <c r="B105" s="212" t="s">
        <v>35</v>
      </c>
      <c r="C105" s="213"/>
      <c r="D105" s="214"/>
      <c r="E105" s="214"/>
      <c r="F105" s="214"/>
      <c r="G105" s="214"/>
      <c r="H105" s="214"/>
      <c r="I105" s="214"/>
      <c r="J105" s="215"/>
      <c r="K105" s="216"/>
      <c r="L105" s="217">
        <f t="shared" ref="L105:U105" si="79">(L102/K102)-1</f>
        <v>1.450932908</v>
      </c>
      <c r="M105" s="217">
        <f t="shared" si="79"/>
        <v>0.1202308504</v>
      </c>
      <c r="N105" s="217">
        <f t="shared" si="79"/>
        <v>0.2180414954</v>
      </c>
      <c r="O105" s="217">
        <f t="shared" si="79"/>
        <v>0.1086205194</v>
      </c>
      <c r="P105" s="217">
        <f t="shared" si="79"/>
        <v>0.1202903714</v>
      </c>
      <c r="Q105" s="217">
        <f t="shared" si="79"/>
        <v>0.1904049738</v>
      </c>
      <c r="R105" s="217">
        <f t="shared" si="79"/>
        <v>0.1639141954</v>
      </c>
      <c r="S105" s="217">
        <f t="shared" si="79"/>
        <v>0.1473951811</v>
      </c>
      <c r="T105" s="217">
        <f t="shared" si="79"/>
        <v>0.1388624163</v>
      </c>
      <c r="U105" s="218">
        <f t="shared" si="79"/>
        <v>0.13174543</v>
      </c>
    </row>
    <row r="106" ht="15.75" customHeight="1">
      <c r="A106" s="15"/>
      <c r="B106" s="15"/>
      <c r="C106" s="15"/>
      <c r="D106" s="28"/>
      <c r="E106" s="28"/>
      <c r="F106" s="28"/>
      <c r="G106" s="28"/>
      <c r="H106" s="28"/>
      <c r="I106" s="28"/>
      <c r="J106" s="171"/>
      <c r="K106" s="180"/>
      <c r="L106" s="180"/>
      <c r="M106" s="180"/>
      <c r="N106" s="180"/>
      <c r="O106" s="180"/>
      <c r="P106" s="180"/>
      <c r="Q106" s="180"/>
      <c r="R106" s="180"/>
      <c r="S106" s="180"/>
      <c r="T106" s="180"/>
      <c r="U106" s="180"/>
    </row>
    <row r="107" ht="15.75" customHeight="1">
      <c r="A107" s="72"/>
      <c r="B107" s="219" t="s">
        <v>86</v>
      </c>
      <c r="C107" s="220"/>
      <c r="D107" s="221"/>
      <c r="E107" s="221"/>
      <c r="F107" s="221"/>
      <c r="G107" s="221"/>
      <c r="H107" s="221"/>
      <c r="I107" s="221"/>
      <c r="J107" s="222"/>
      <c r="K107" s="223">
        <f t="shared" ref="K107:U107" si="80">K99-K87</f>
        <v>-428.71</v>
      </c>
      <c r="L107" s="223">
        <f t="shared" si="80"/>
        <v>-1161.51</v>
      </c>
      <c r="M107" s="223">
        <f t="shared" si="80"/>
        <v>-1533.92</v>
      </c>
      <c r="N107" s="223">
        <f t="shared" si="80"/>
        <v>-2109.12</v>
      </c>
      <c r="O107" s="224">
        <f t="shared" si="80"/>
        <v>-2619.18</v>
      </c>
      <c r="P107" s="225">
        <f t="shared" si="80"/>
        <v>-3157.94</v>
      </c>
      <c r="Q107" s="225">
        <f t="shared" si="80"/>
        <v>-3837.175344</v>
      </c>
      <c r="R107" s="226">
        <f t="shared" si="80"/>
        <v>-4545.005007</v>
      </c>
      <c r="S107" s="226">
        <f t="shared" si="80"/>
        <v>-5293.042276</v>
      </c>
      <c r="T107" s="226">
        <f t="shared" si="80"/>
        <v>-6090.408976</v>
      </c>
      <c r="U107" s="226">
        <f t="shared" si="80"/>
        <v>-6940.534385</v>
      </c>
      <c r="V107" s="135"/>
      <c r="W107" s="135"/>
      <c r="X107" s="135"/>
      <c r="Y107" s="135"/>
      <c r="Z107" s="135"/>
      <c r="AA107" s="135"/>
      <c r="AB107" s="135"/>
      <c r="AC107" s="135"/>
    </row>
    <row r="108" ht="15.75" customHeight="1">
      <c r="A108" s="72"/>
      <c r="B108" s="227" t="s">
        <v>87</v>
      </c>
      <c r="C108" s="72"/>
      <c r="D108" s="73"/>
      <c r="E108" s="73"/>
      <c r="F108" s="73"/>
      <c r="G108" s="73"/>
      <c r="H108" s="73"/>
      <c r="I108" s="73"/>
      <c r="J108" s="228"/>
      <c r="K108" s="229">
        <f t="shared" ref="K108:U108" si="81">K107-K97</f>
        <v>-442.21</v>
      </c>
      <c r="L108" s="229">
        <f t="shared" si="81"/>
        <v>-1190.17</v>
      </c>
      <c r="M108" s="229">
        <f t="shared" si="81"/>
        <v>-1563.07</v>
      </c>
      <c r="N108" s="229">
        <f t="shared" si="81"/>
        <v>-2155.08</v>
      </c>
      <c r="O108" s="121">
        <f t="shared" si="81"/>
        <v>-2664.69</v>
      </c>
      <c r="P108" s="230">
        <f t="shared" si="81"/>
        <v>-3207.97</v>
      </c>
      <c r="Q108" s="230">
        <f t="shared" si="81"/>
        <v>-3893.260285</v>
      </c>
      <c r="R108" s="231">
        <f t="shared" si="81"/>
        <v>-4603.282208</v>
      </c>
      <c r="S108" s="231">
        <f t="shared" si="81"/>
        <v>-5354.91792</v>
      </c>
      <c r="T108" s="231">
        <f t="shared" si="81"/>
        <v>-6156.12576</v>
      </c>
      <c r="U108" s="231">
        <f t="shared" si="81"/>
        <v>-7010.3529</v>
      </c>
      <c r="V108" s="135"/>
      <c r="W108" s="135"/>
      <c r="X108" s="135"/>
      <c r="Y108" s="135"/>
      <c r="Z108" s="135"/>
      <c r="AA108" s="135"/>
      <c r="AB108" s="135"/>
      <c r="AC108" s="135"/>
    </row>
    <row r="109" ht="15.75" customHeight="1">
      <c r="A109" s="41"/>
      <c r="B109" s="232" t="s">
        <v>88</v>
      </c>
      <c r="C109" s="41"/>
      <c r="D109" s="11"/>
      <c r="E109" s="11"/>
      <c r="F109" s="11"/>
      <c r="G109" s="11"/>
      <c r="H109" s="11"/>
      <c r="I109" s="11"/>
      <c r="J109" s="233"/>
      <c r="K109" s="234">
        <f t="shared" ref="K109:U109" si="82">K58/((J102+K102)/2)</f>
        <v>0.1672078816</v>
      </c>
      <c r="L109" s="234">
        <f t="shared" si="82"/>
        <v>0.1593620415</v>
      </c>
      <c r="M109" s="234">
        <f t="shared" si="82"/>
        <v>0.109252669</v>
      </c>
      <c r="N109" s="234">
        <f t="shared" si="82"/>
        <v>0.1917810695</v>
      </c>
      <c r="O109" s="234">
        <f t="shared" si="82"/>
        <v>0.1123599013</v>
      </c>
      <c r="P109" s="234">
        <f t="shared" si="82"/>
        <v>0.1561931568</v>
      </c>
      <c r="Q109" s="234">
        <f t="shared" si="82"/>
        <v>0.1830038652</v>
      </c>
      <c r="R109" s="235">
        <f t="shared" si="82"/>
        <v>0.1629009352</v>
      </c>
      <c r="S109" s="235">
        <f t="shared" si="82"/>
        <v>0.1525312386</v>
      </c>
      <c r="T109" s="235">
        <f t="shared" si="82"/>
        <v>0.1442744259</v>
      </c>
      <c r="U109" s="235">
        <f t="shared" si="82"/>
        <v>0.137337047</v>
      </c>
      <c r="V109" s="236"/>
      <c r="W109" s="236"/>
      <c r="X109" s="236"/>
      <c r="Y109" s="236"/>
      <c r="Z109" s="236"/>
      <c r="AA109" s="236"/>
      <c r="AB109" s="236"/>
      <c r="AC109" s="236"/>
    </row>
    <row r="110" ht="15.75" customHeight="1">
      <c r="A110" s="21"/>
      <c r="B110" s="237" t="s">
        <v>89</v>
      </c>
      <c r="C110" s="238"/>
      <c r="D110" s="239"/>
      <c r="E110" s="239"/>
      <c r="F110" s="239"/>
      <c r="G110" s="239"/>
      <c r="H110" s="239"/>
      <c r="I110" s="239"/>
      <c r="J110" s="240"/>
      <c r="K110" s="241">
        <f t="shared" ref="K110:U110" si="83">K104/K61</f>
        <v>2.547183</v>
      </c>
      <c r="L110" s="241">
        <f t="shared" si="83"/>
        <v>5.742400824</v>
      </c>
      <c r="M110" s="241">
        <f t="shared" si="83"/>
        <v>5.403484094</v>
      </c>
      <c r="N110" s="241">
        <f t="shared" si="83"/>
        <v>5.54687215</v>
      </c>
      <c r="O110" s="242">
        <f t="shared" si="83"/>
        <v>6.081985182</v>
      </c>
      <c r="P110" s="242">
        <f t="shared" si="83"/>
        <v>6.869822485</v>
      </c>
      <c r="Q110" s="242">
        <f t="shared" si="83"/>
        <v>8.177870856</v>
      </c>
      <c r="R110" s="243">
        <f t="shared" si="83"/>
        <v>9.518339977</v>
      </c>
      <c r="S110" s="243">
        <f t="shared" si="83"/>
        <v>10.92129742</v>
      </c>
      <c r="T110" s="243">
        <f t="shared" si="83"/>
        <v>12.43785517</v>
      </c>
      <c r="U110" s="243">
        <f t="shared" si="83"/>
        <v>14.07648575</v>
      </c>
      <c r="V110" s="244"/>
      <c r="W110" s="244"/>
      <c r="X110" s="244"/>
      <c r="Y110" s="244"/>
      <c r="Z110" s="244"/>
      <c r="AA110" s="244"/>
      <c r="AB110" s="244"/>
      <c r="AC110" s="244"/>
    </row>
    <row r="111" ht="15.75" customHeight="1">
      <c r="A111" s="15"/>
      <c r="B111" s="15"/>
      <c r="C111" s="15"/>
      <c r="D111" s="28"/>
      <c r="E111" s="28"/>
      <c r="F111" s="28"/>
      <c r="G111" s="28"/>
      <c r="H111" s="28"/>
      <c r="I111" s="28"/>
      <c r="J111" s="28"/>
      <c r="K111" s="28"/>
      <c r="L111" s="28"/>
      <c r="M111" s="28"/>
      <c r="N111" s="28"/>
      <c r="O111" s="28"/>
      <c r="P111" s="28"/>
      <c r="Q111" s="28"/>
      <c r="R111" s="28"/>
      <c r="S111" s="28"/>
      <c r="T111" s="28"/>
      <c r="U111" s="28"/>
    </row>
    <row r="112" ht="13.5" customHeight="1">
      <c r="A112" s="140"/>
      <c r="B112" s="141" t="s">
        <v>90</v>
      </c>
      <c r="C112" s="142"/>
      <c r="D112" s="143"/>
      <c r="E112" s="143"/>
      <c r="F112" s="143"/>
      <c r="G112" s="143"/>
      <c r="H112" s="143"/>
      <c r="I112" s="143"/>
      <c r="J112" s="143"/>
      <c r="K112" s="143"/>
      <c r="L112" s="143"/>
      <c r="M112" s="143"/>
      <c r="N112" s="143"/>
      <c r="O112" s="143"/>
      <c r="P112" s="143"/>
      <c r="Q112" s="143"/>
      <c r="R112" s="143"/>
      <c r="S112" s="143"/>
      <c r="T112" s="143"/>
      <c r="U112" s="143"/>
    </row>
    <row r="113" ht="15.75" customHeight="1" outlineLevel="1">
      <c r="A113" s="245"/>
      <c r="B113" s="246" t="s">
        <v>91</v>
      </c>
      <c r="C113" s="246"/>
      <c r="D113" s="247"/>
      <c r="E113" s="247"/>
      <c r="F113" s="247"/>
      <c r="G113" s="247"/>
      <c r="H113" s="247"/>
      <c r="I113" s="247"/>
      <c r="J113" s="248"/>
      <c r="K113" s="248">
        <f t="shared" ref="K113:P113" si="84">K88/K7</f>
        <v>3.115270936</v>
      </c>
      <c r="L113" s="248">
        <f t="shared" si="84"/>
        <v>3.369038969</v>
      </c>
      <c r="M113" s="248">
        <f t="shared" si="84"/>
        <v>3.304636237</v>
      </c>
      <c r="N113" s="248">
        <f t="shared" si="84"/>
        <v>2.661039032</v>
      </c>
      <c r="O113" s="248">
        <f t="shared" si="84"/>
        <v>2.527986077</v>
      </c>
      <c r="P113" s="248">
        <f t="shared" si="84"/>
        <v>2.568267989</v>
      </c>
      <c r="Q113" s="249">
        <f t="shared" ref="Q113:U113" si="85">P113</f>
        <v>2.568267989</v>
      </c>
      <c r="R113" s="249">
        <f t="shared" si="85"/>
        <v>2.568267989</v>
      </c>
      <c r="S113" s="249">
        <f t="shared" si="85"/>
        <v>2.568267989</v>
      </c>
      <c r="T113" s="249">
        <f t="shared" si="85"/>
        <v>2.568267989</v>
      </c>
      <c r="U113" s="249">
        <f t="shared" si="85"/>
        <v>2.568267989</v>
      </c>
    </row>
    <row r="114" ht="15.75" customHeight="1" outlineLevel="1">
      <c r="A114" s="245"/>
      <c r="B114" s="246" t="s">
        <v>92</v>
      </c>
      <c r="C114" s="246"/>
      <c r="D114" s="247"/>
      <c r="E114" s="247"/>
      <c r="F114" s="247"/>
      <c r="G114" s="247"/>
      <c r="H114" s="247"/>
      <c r="I114" s="247"/>
      <c r="J114" s="248"/>
      <c r="K114" s="248">
        <f t="shared" ref="K114:P114" si="86">K89/K7</f>
        <v>0</v>
      </c>
      <c r="L114" s="248">
        <f t="shared" si="86"/>
        <v>0</v>
      </c>
      <c r="M114" s="248">
        <f t="shared" si="86"/>
        <v>0</v>
      </c>
      <c r="N114" s="248">
        <f t="shared" si="86"/>
        <v>0</v>
      </c>
      <c r="O114" s="250">
        <f t="shared" si="86"/>
        <v>0</v>
      </c>
      <c r="P114" s="250">
        <f t="shared" si="86"/>
        <v>0</v>
      </c>
      <c r="Q114" s="248">
        <v>0.0</v>
      </c>
      <c r="R114" s="248">
        <v>0.0</v>
      </c>
      <c r="S114" s="248">
        <v>0.0</v>
      </c>
      <c r="T114" s="248">
        <v>0.0</v>
      </c>
      <c r="U114" s="248">
        <v>0.0</v>
      </c>
    </row>
    <row r="115" ht="15.75" customHeight="1" outlineLevel="1">
      <c r="A115" s="245"/>
      <c r="B115" s="246" t="s">
        <v>93</v>
      </c>
      <c r="C115" s="246"/>
      <c r="D115" s="247"/>
      <c r="E115" s="247"/>
      <c r="F115" s="247"/>
      <c r="G115" s="247"/>
      <c r="H115" s="247"/>
      <c r="I115" s="247"/>
      <c r="J115" s="248"/>
      <c r="K115" s="248">
        <f t="shared" ref="K115:O115" si="87">K90/K7</f>
        <v>0</v>
      </c>
      <c r="L115" s="248">
        <f t="shared" si="87"/>
        <v>0</v>
      </c>
      <c r="M115" s="248">
        <f t="shared" si="87"/>
        <v>0</v>
      </c>
      <c r="N115" s="248">
        <f t="shared" si="87"/>
        <v>0</v>
      </c>
      <c r="O115" s="248">
        <f t="shared" si="87"/>
        <v>0</v>
      </c>
      <c r="P115" s="248">
        <v>0.0</v>
      </c>
      <c r="Q115" s="248">
        <v>0.0</v>
      </c>
      <c r="R115" s="248">
        <v>0.0</v>
      </c>
      <c r="S115" s="248">
        <v>0.0</v>
      </c>
      <c r="T115" s="248">
        <v>0.0</v>
      </c>
      <c r="U115" s="248">
        <v>0.0</v>
      </c>
    </row>
    <row r="116" ht="15.75" customHeight="1" outlineLevel="1">
      <c r="A116" s="251"/>
      <c r="B116" s="252" t="s">
        <v>94</v>
      </c>
      <c r="C116" s="252"/>
      <c r="D116" s="253"/>
      <c r="E116" s="253"/>
      <c r="F116" s="253"/>
      <c r="G116" s="253"/>
      <c r="H116" s="253"/>
      <c r="I116" s="253"/>
      <c r="J116" s="254"/>
      <c r="K116" s="254">
        <f t="shared" ref="K116:P116" si="88">K91/K7</f>
        <v>7.247896931</v>
      </c>
      <c r="L116" s="254">
        <f t="shared" si="88"/>
        <v>8.029714329</v>
      </c>
      <c r="M116" s="254">
        <f t="shared" si="88"/>
        <v>6.739427176</v>
      </c>
      <c r="N116" s="254">
        <f t="shared" si="88"/>
        <v>8.699826285</v>
      </c>
      <c r="O116" s="254">
        <f t="shared" si="88"/>
        <v>9.243185832</v>
      </c>
      <c r="P116" s="254">
        <f t="shared" si="88"/>
        <v>8.958730886</v>
      </c>
      <c r="Q116" s="254">
        <f t="shared" ref="Q116:U116" si="89">P116</f>
        <v>8.958730886</v>
      </c>
      <c r="R116" s="254">
        <f t="shared" si="89"/>
        <v>8.958730886</v>
      </c>
      <c r="S116" s="254">
        <f t="shared" si="89"/>
        <v>8.958730886</v>
      </c>
      <c r="T116" s="254">
        <f t="shared" si="89"/>
        <v>8.958730886</v>
      </c>
      <c r="U116" s="254">
        <f t="shared" si="89"/>
        <v>8.958730886</v>
      </c>
    </row>
    <row r="117" ht="15.75" customHeight="1" outlineLevel="1">
      <c r="A117" s="251"/>
      <c r="B117" s="252" t="s">
        <v>95</v>
      </c>
      <c r="C117" s="252"/>
      <c r="D117" s="253"/>
      <c r="E117" s="253"/>
      <c r="F117" s="253"/>
      <c r="G117" s="253"/>
      <c r="H117" s="253"/>
      <c r="I117" s="253"/>
      <c r="J117" s="254"/>
      <c r="K117" s="254">
        <f t="shared" ref="K117:P117" si="90">K92/K7</f>
        <v>0.07995452823</v>
      </c>
      <c r="L117" s="254">
        <f t="shared" si="90"/>
        <v>0.1494129795</v>
      </c>
      <c r="M117" s="254">
        <f t="shared" si="90"/>
        <v>0.08139757651</v>
      </c>
      <c r="N117" s="254">
        <f t="shared" si="90"/>
        <v>0.06158731882</v>
      </c>
      <c r="O117" s="254">
        <f t="shared" si="90"/>
        <v>0.1051365393</v>
      </c>
      <c r="P117" s="254">
        <f t="shared" si="90"/>
        <v>0.1599933336</v>
      </c>
      <c r="Q117" s="254">
        <f t="shared" ref="Q117:U117" si="91">P117</f>
        <v>0.1599933336</v>
      </c>
      <c r="R117" s="254">
        <f t="shared" si="91"/>
        <v>0.1599933336</v>
      </c>
      <c r="S117" s="254">
        <f t="shared" si="91"/>
        <v>0.1599933336</v>
      </c>
      <c r="T117" s="254">
        <f t="shared" si="91"/>
        <v>0.1599933336</v>
      </c>
      <c r="U117" s="254">
        <f t="shared" si="91"/>
        <v>0.1599933336</v>
      </c>
    </row>
    <row r="118" ht="15.75" customHeight="1" outlineLevel="1">
      <c r="A118" s="15"/>
      <c r="B118" s="15"/>
      <c r="C118" s="15"/>
      <c r="D118" s="28"/>
      <c r="E118" s="28"/>
      <c r="F118" s="28"/>
      <c r="G118" s="28"/>
      <c r="H118" s="28"/>
      <c r="I118" s="28"/>
      <c r="J118" s="255"/>
      <c r="K118" s="255"/>
      <c r="L118" s="255"/>
      <c r="M118" s="255"/>
      <c r="N118" s="255"/>
      <c r="O118" s="255"/>
      <c r="P118" s="255"/>
      <c r="Q118" s="255"/>
      <c r="R118" s="255"/>
      <c r="S118" s="255"/>
      <c r="T118" s="255"/>
      <c r="U118" s="255"/>
      <c r="V118" s="10"/>
      <c r="W118" s="10"/>
      <c r="X118" s="10"/>
      <c r="Y118" s="10"/>
      <c r="Z118" s="10"/>
      <c r="AA118" s="10"/>
      <c r="AB118" s="10"/>
      <c r="AC118" s="10"/>
    </row>
    <row r="119" ht="15.75" customHeight="1" outlineLevel="1">
      <c r="A119" s="256"/>
      <c r="B119" s="257" t="s">
        <v>96</v>
      </c>
      <c r="C119" s="257"/>
      <c r="D119" s="258"/>
      <c r="E119" s="258"/>
      <c r="F119" s="258"/>
      <c r="G119" s="258"/>
      <c r="H119" s="258"/>
      <c r="I119" s="258"/>
      <c r="J119" s="259"/>
      <c r="K119" s="259">
        <f t="shared" ref="K119:U119" si="92">K93-J93</f>
        <v>-555.85</v>
      </c>
      <c r="L119" s="259">
        <f t="shared" si="92"/>
        <v>-701.94</v>
      </c>
      <c r="M119" s="259">
        <f t="shared" si="92"/>
        <v>-210.5</v>
      </c>
      <c r="N119" s="259">
        <f t="shared" si="92"/>
        <v>-779.21</v>
      </c>
      <c r="O119" s="259">
        <f t="shared" si="92"/>
        <v>-417.41</v>
      </c>
      <c r="P119" s="259">
        <f t="shared" si="92"/>
        <v>-479.44</v>
      </c>
      <c r="Q119" s="259">
        <f t="shared" si="92"/>
        <v>-380.5487547</v>
      </c>
      <c r="R119" s="259">
        <f t="shared" si="92"/>
        <v>-137.781976</v>
      </c>
      <c r="S119" s="259">
        <f t="shared" si="92"/>
        <v>-226.1595516</v>
      </c>
      <c r="T119" s="259">
        <f t="shared" si="92"/>
        <v>-241.4129689</v>
      </c>
      <c r="U119" s="259">
        <f t="shared" si="92"/>
        <v>-257.7908539</v>
      </c>
      <c r="V119" s="45"/>
      <c r="W119" s="45"/>
      <c r="X119" s="45"/>
      <c r="Y119" s="45"/>
      <c r="Z119" s="45"/>
      <c r="AA119" s="45"/>
      <c r="AB119" s="45"/>
      <c r="AC119" s="45"/>
    </row>
    <row r="120" ht="15.75" customHeight="1" outlineLevel="1">
      <c r="A120" s="72"/>
      <c r="B120" s="72"/>
      <c r="C120" s="72"/>
      <c r="D120" s="73"/>
      <c r="E120" s="73"/>
      <c r="F120" s="73"/>
      <c r="G120" s="73"/>
      <c r="H120" s="73"/>
      <c r="I120" s="73"/>
      <c r="J120" s="260"/>
      <c r="K120" s="260"/>
      <c r="L120" s="260"/>
      <c r="M120" s="260"/>
      <c r="N120" s="260"/>
      <c r="O120" s="260"/>
      <c r="P120" s="260"/>
      <c r="Q120" s="260"/>
      <c r="R120" s="260"/>
      <c r="S120" s="260"/>
      <c r="T120" s="260"/>
      <c r="U120" s="260"/>
      <c r="V120" s="45"/>
      <c r="W120" s="45"/>
      <c r="X120" s="45"/>
      <c r="Y120" s="45"/>
      <c r="Z120" s="45"/>
      <c r="AA120" s="45"/>
      <c r="AB120" s="45"/>
      <c r="AC120" s="45"/>
    </row>
    <row r="121" ht="15.75" customHeight="1" outlineLevel="1">
      <c r="A121" s="72"/>
      <c r="B121" s="72" t="s">
        <v>97</v>
      </c>
      <c r="C121" s="72"/>
      <c r="D121" s="73"/>
      <c r="E121" s="73"/>
      <c r="F121" s="73"/>
      <c r="G121" s="73"/>
      <c r="H121" s="73"/>
      <c r="I121" s="73"/>
      <c r="J121" s="261"/>
      <c r="K121" s="261">
        <f t="shared" ref="K121:U121" si="93">(K88/K7)*365</f>
        <v>1137.073892</v>
      </c>
      <c r="L121" s="261">
        <f t="shared" si="93"/>
        <v>1229.699224</v>
      </c>
      <c r="M121" s="261">
        <f t="shared" si="93"/>
        <v>1206.192227</v>
      </c>
      <c r="N121" s="261">
        <f t="shared" si="93"/>
        <v>971.2792465</v>
      </c>
      <c r="O121" s="261">
        <f t="shared" si="93"/>
        <v>922.7149182</v>
      </c>
      <c r="P121" s="261">
        <f t="shared" si="93"/>
        <v>937.4178159</v>
      </c>
      <c r="Q121" s="261">
        <f t="shared" si="93"/>
        <v>937.4178159</v>
      </c>
      <c r="R121" s="261">
        <f t="shared" si="93"/>
        <v>937.4178159</v>
      </c>
      <c r="S121" s="261">
        <f t="shared" si="93"/>
        <v>937.4178159</v>
      </c>
      <c r="T121" s="261">
        <f t="shared" si="93"/>
        <v>937.4178159</v>
      </c>
      <c r="U121" s="261">
        <f t="shared" si="93"/>
        <v>937.4178159</v>
      </c>
    </row>
    <row r="122" ht="15.75" customHeight="1" outlineLevel="1">
      <c r="A122" s="72"/>
      <c r="B122" s="72" t="s">
        <v>98</v>
      </c>
      <c r="C122" s="72"/>
      <c r="D122" s="73"/>
      <c r="E122" s="73"/>
      <c r="F122" s="73"/>
      <c r="G122" s="73"/>
      <c r="H122" s="73"/>
      <c r="I122" s="73"/>
      <c r="J122" s="261"/>
      <c r="K122" s="261">
        <f t="shared" ref="K122:U122" si="94">ABS(K89/K23*365)</f>
        <v>0</v>
      </c>
      <c r="L122" s="261">
        <f t="shared" si="94"/>
        <v>0</v>
      </c>
      <c r="M122" s="261">
        <f t="shared" si="94"/>
        <v>0</v>
      </c>
      <c r="N122" s="261">
        <f t="shared" si="94"/>
        <v>0</v>
      </c>
      <c r="O122" s="261">
        <f t="shared" si="94"/>
        <v>0</v>
      </c>
      <c r="P122" s="261">
        <f t="shared" si="94"/>
        <v>0</v>
      </c>
      <c r="Q122" s="261">
        <f t="shared" si="94"/>
        <v>0</v>
      </c>
      <c r="R122" s="261">
        <f t="shared" si="94"/>
        <v>0</v>
      </c>
      <c r="S122" s="261">
        <f t="shared" si="94"/>
        <v>0</v>
      </c>
      <c r="T122" s="261">
        <f t="shared" si="94"/>
        <v>0</v>
      </c>
      <c r="U122" s="261">
        <f t="shared" si="94"/>
        <v>0</v>
      </c>
    </row>
    <row r="123" ht="15.75" customHeight="1" outlineLevel="1">
      <c r="A123" s="72"/>
      <c r="B123" s="72" t="s">
        <v>99</v>
      </c>
      <c r="C123" s="72"/>
      <c r="D123" s="73"/>
      <c r="E123" s="73"/>
      <c r="F123" s="73"/>
      <c r="G123" s="73"/>
      <c r="H123" s="73"/>
      <c r="I123" s="73"/>
      <c r="J123" s="261"/>
      <c r="K123" s="261">
        <f t="shared" ref="K123:U123" si="95">ABS(K91/K23*365)</f>
        <v>9145.17684</v>
      </c>
      <c r="L123" s="261">
        <f t="shared" si="95"/>
        <v>15501.35214</v>
      </c>
      <c r="M123" s="261">
        <f t="shared" si="95"/>
        <v>13636.01819</v>
      </c>
      <c r="N123" s="261">
        <f t="shared" si="95"/>
        <v>17945.91732</v>
      </c>
      <c r="O123" s="261">
        <f t="shared" si="95"/>
        <v>18975.53404</v>
      </c>
      <c r="P123" s="261">
        <f t="shared" si="95"/>
        <v>22649.85642</v>
      </c>
      <c r="Q123" s="261">
        <f t="shared" si="95"/>
        <v>22887.6602</v>
      </c>
      <c r="R123" s="261">
        <f t="shared" si="95"/>
        <v>22887.6602</v>
      </c>
      <c r="S123" s="261">
        <f t="shared" si="95"/>
        <v>22887.6602</v>
      </c>
      <c r="T123" s="261">
        <f t="shared" si="95"/>
        <v>22887.6602</v>
      </c>
      <c r="U123" s="261">
        <f t="shared" si="95"/>
        <v>22887.6602</v>
      </c>
    </row>
    <row r="124" ht="15.75" customHeight="1" outlineLevel="1">
      <c r="A124" s="256"/>
      <c r="B124" s="257" t="s">
        <v>100</v>
      </c>
      <c r="C124" s="257"/>
      <c r="D124" s="258"/>
      <c r="E124" s="258"/>
      <c r="F124" s="258"/>
      <c r="G124" s="258"/>
      <c r="H124" s="258"/>
      <c r="I124" s="258"/>
      <c r="J124" s="262"/>
      <c r="K124" s="262">
        <f t="shared" ref="K124:U124" si="96">K121+K122-K123</f>
        <v>-8008.102949</v>
      </c>
      <c r="L124" s="262">
        <f t="shared" si="96"/>
        <v>-14271.65292</v>
      </c>
      <c r="M124" s="262">
        <f t="shared" si="96"/>
        <v>-12429.82596</v>
      </c>
      <c r="N124" s="262">
        <f t="shared" si="96"/>
        <v>-16974.63807</v>
      </c>
      <c r="O124" s="262">
        <f t="shared" si="96"/>
        <v>-18052.81913</v>
      </c>
      <c r="P124" s="262">
        <f t="shared" si="96"/>
        <v>-21712.43861</v>
      </c>
      <c r="Q124" s="262">
        <f t="shared" si="96"/>
        <v>-21950.24239</v>
      </c>
      <c r="R124" s="262">
        <f t="shared" si="96"/>
        <v>-21950.24239</v>
      </c>
      <c r="S124" s="262">
        <f t="shared" si="96"/>
        <v>-21950.24239</v>
      </c>
      <c r="T124" s="262">
        <f t="shared" si="96"/>
        <v>-21950.24239</v>
      </c>
      <c r="U124" s="262">
        <f t="shared" si="96"/>
        <v>-21950.24239</v>
      </c>
      <c r="V124" s="9"/>
      <c r="W124" s="9"/>
      <c r="X124" s="9"/>
      <c r="Y124" s="9"/>
      <c r="Z124" s="9"/>
      <c r="AA124" s="9"/>
      <c r="AB124" s="9"/>
      <c r="AC124" s="9"/>
    </row>
    <row r="125" outlineLevel="1"/>
    <row r="126" outlineLevel="1">
      <c r="B126" s="132" t="s">
        <v>101</v>
      </c>
      <c r="K126" s="263">
        <f t="shared" ref="K126:P126" si="97">K97/K7</f>
        <v>0.1023114816</v>
      </c>
      <c r="L126" s="263">
        <f t="shared" si="97"/>
        <v>0.1096026617</v>
      </c>
      <c r="M126" s="263">
        <f t="shared" si="97"/>
        <v>0.06980698309</v>
      </c>
      <c r="N126" s="263">
        <f t="shared" si="97"/>
        <v>0.1247489279</v>
      </c>
      <c r="O126" s="263">
        <f t="shared" si="97"/>
        <v>0.1164742917</v>
      </c>
      <c r="P126" s="263">
        <f t="shared" si="97"/>
        <v>0.104224824</v>
      </c>
      <c r="Q126" s="263">
        <f t="shared" ref="Q126:U126" si="98">P126</f>
        <v>0.104224824</v>
      </c>
      <c r="R126" s="263">
        <f t="shared" si="98"/>
        <v>0.104224824</v>
      </c>
      <c r="S126" s="263">
        <f t="shared" si="98"/>
        <v>0.104224824</v>
      </c>
      <c r="T126" s="263">
        <f t="shared" si="98"/>
        <v>0.104224824</v>
      </c>
      <c r="U126" s="263">
        <f t="shared" si="98"/>
        <v>0.104224824</v>
      </c>
    </row>
    <row r="127" ht="15.75" customHeight="1">
      <c r="A127" s="264"/>
      <c r="B127" s="264"/>
      <c r="C127" s="264"/>
      <c r="D127" s="264"/>
      <c r="E127" s="264"/>
      <c r="F127" s="264"/>
      <c r="G127" s="264"/>
      <c r="H127" s="264"/>
      <c r="I127" s="264"/>
      <c r="J127" s="264"/>
      <c r="K127" s="264"/>
      <c r="L127" s="264"/>
      <c r="M127" s="264"/>
      <c r="N127" s="264"/>
      <c r="O127" s="264"/>
      <c r="P127" s="264"/>
      <c r="Q127" s="264"/>
      <c r="R127" s="264"/>
      <c r="S127" s="264"/>
      <c r="T127" s="264"/>
      <c r="U127" s="264"/>
    </row>
    <row r="128" ht="15.75" customHeight="1">
      <c r="A128" s="265"/>
      <c r="B128" s="266" t="s">
        <v>102</v>
      </c>
      <c r="C128" s="14"/>
      <c r="D128" s="14"/>
      <c r="E128" s="14"/>
      <c r="F128" s="14"/>
      <c r="G128" s="14"/>
      <c r="H128" s="14"/>
      <c r="I128" s="14"/>
      <c r="J128" s="14"/>
      <c r="K128" s="14"/>
      <c r="L128" s="14"/>
      <c r="M128" s="14"/>
      <c r="N128" s="14"/>
      <c r="O128" s="14"/>
      <c r="P128" s="14"/>
      <c r="Q128" s="14"/>
      <c r="R128" s="14"/>
      <c r="S128" s="14"/>
      <c r="T128" s="265"/>
      <c r="U128" s="265"/>
    </row>
    <row r="129" ht="15.75" customHeight="1">
      <c r="A129" s="15"/>
      <c r="B129" s="15"/>
      <c r="C129" s="15"/>
      <c r="D129" s="28"/>
      <c r="E129" s="28"/>
      <c r="F129" s="28"/>
      <c r="G129" s="28"/>
      <c r="H129" s="28"/>
      <c r="I129" s="28"/>
      <c r="J129" s="28"/>
      <c r="K129" s="28"/>
      <c r="L129" s="28"/>
      <c r="M129" s="28"/>
      <c r="N129" s="28"/>
      <c r="O129" s="28"/>
      <c r="P129" s="28"/>
      <c r="Q129" s="28"/>
      <c r="R129" s="28"/>
      <c r="S129" s="28"/>
      <c r="T129" s="28"/>
      <c r="U129" s="28"/>
    </row>
    <row r="130" ht="15.75" customHeight="1">
      <c r="A130" s="15"/>
      <c r="B130" s="15"/>
      <c r="C130" s="15"/>
      <c r="D130" s="28"/>
      <c r="E130" s="28"/>
      <c r="F130" s="28"/>
      <c r="G130" s="28"/>
      <c r="H130" s="28"/>
      <c r="I130" s="28"/>
      <c r="J130" s="28"/>
      <c r="K130" s="28"/>
      <c r="L130" s="28"/>
      <c r="M130" s="28"/>
      <c r="N130" s="28"/>
      <c r="O130" s="28"/>
      <c r="P130" s="28"/>
      <c r="Q130" s="28"/>
      <c r="R130" s="28"/>
      <c r="S130" s="28"/>
      <c r="T130" s="28"/>
      <c r="U130" s="28"/>
    </row>
    <row r="131" ht="15.75" customHeight="1">
      <c r="A131" s="149"/>
      <c r="B131" s="267"/>
      <c r="C131" s="267"/>
      <c r="D131" s="268"/>
      <c r="E131" s="268"/>
      <c r="F131" s="268"/>
      <c r="G131" s="268"/>
      <c r="H131" s="268"/>
      <c r="I131" s="268"/>
      <c r="J131" s="268"/>
      <c r="K131" s="17">
        <v>2019.0</v>
      </c>
      <c r="L131" s="17">
        <v>2020.0</v>
      </c>
      <c r="M131" s="17">
        <v>2021.0</v>
      </c>
      <c r="N131" s="17">
        <v>2022.0</v>
      </c>
      <c r="O131" s="17">
        <v>2023.0</v>
      </c>
      <c r="P131" s="18" t="s">
        <v>71</v>
      </c>
      <c r="Q131" s="18" t="s">
        <v>5</v>
      </c>
      <c r="R131" s="18" t="s">
        <v>6</v>
      </c>
      <c r="S131" s="18" t="s">
        <v>6</v>
      </c>
      <c r="T131" s="18" t="s">
        <v>6</v>
      </c>
      <c r="U131" s="18" t="s">
        <v>6</v>
      </c>
    </row>
    <row r="132" ht="15.75" customHeight="1">
      <c r="A132" s="122"/>
      <c r="B132" s="122" t="s">
        <v>103</v>
      </c>
      <c r="C132" s="122"/>
      <c r="D132" s="123"/>
      <c r="E132" s="123"/>
      <c r="F132" s="123"/>
      <c r="G132" s="123"/>
      <c r="H132" s="123"/>
      <c r="I132" s="123"/>
      <c r="J132" s="123"/>
      <c r="K132" s="136"/>
      <c r="L132" s="136"/>
      <c r="M132" s="136"/>
      <c r="N132" s="269">
        <f t="shared" ref="N132:U132" si="99">N58</f>
        <v>106.1</v>
      </c>
      <c r="O132" s="88">
        <f t="shared" si="99"/>
        <v>71.98</v>
      </c>
      <c r="P132" s="88">
        <f t="shared" si="99"/>
        <v>111.543</v>
      </c>
      <c r="Q132" s="88">
        <f t="shared" si="99"/>
        <v>151.2516984</v>
      </c>
      <c r="R132" s="88">
        <f t="shared" si="99"/>
        <v>158.3339065</v>
      </c>
      <c r="S132" s="88">
        <f t="shared" si="99"/>
        <v>171.2387503</v>
      </c>
      <c r="T132" s="88">
        <f t="shared" si="99"/>
        <v>185.1042985</v>
      </c>
      <c r="U132" s="88">
        <f t="shared" si="99"/>
        <v>200.0039655</v>
      </c>
      <c r="V132" s="94"/>
      <c r="W132" s="94"/>
      <c r="X132" s="94"/>
      <c r="Y132" s="94"/>
      <c r="Z132" s="94"/>
      <c r="AA132" s="94"/>
      <c r="AB132" s="94"/>
      <c r="AC132" s="94"/>
    </row>
    <row r="133" ht="15.75" customHeight="1">
      <c r="A133" s="122"/>
      <c r="B133" s="122" t="s">
        <v>104</v>
      </c>
      <c r="C133" s="122"/>
      <c r="D133" s="123"/>
      <c r="E133" s="123"/>
      <c r="F133" s="123"/>
      <c r="G133" s="123"/>
      <c r="H133" s="123"/>
      <c r="I133" s="123"/>
      <c r="J133" s="270"/>
      <c r="K133" s="136"/>
      <c r="L133" s="136"/>
      <c r="M133" s="136"/>
      <c r="N133" s="271">
        <v>29.69</v>
      </c>
      <c r="O133" s="272">
        <v>32.02</v>
      </c>
      <c r="P133" s="273">
        <v>29.3</v>
      </c>
      <c r="Q133" s="273">
        <f t="shared" ref="Q133:U133" si="100">ABS(Q29*Q187)</f>
        <v>45.64680456</v>
      </c>
      <c r="R133" s="273">
        <f t="shared" si="100"/>
        <v>47.43105636</v>
      </c>
      <c r="S133" s="273">
        <f t="shared" si="100"/>
        <v>50.35978185</v>
      </c>
      <c r="T133" s="273">
        <f t="shared" si="100"/>
        <v>53.48603636</v>
      </c>
      <c r="U133" s="273">
        <f t="shared" si="100"/>
        <v>56.82438152</v>
      </c>
      <c r="V133" s="94"/>
      <c r="W133" s="94"/>
      <c r="X133" s="94"/>
      <c r="Y133" s="94"/>
      <c r="Z133" s="94"/>
      <c r="AA133" s="94"/>
      <c r="AB133" s="94"/>
      <c r="AC133" s="94"/>
    </row>
    <row r="134" ht="15.75" customHeight="1">
      <c r="A134" s="122"/>
      <c r="B134" s="122" t="s">
        <v>105</v>
      </c>
      <c r="C134" s="122"/>
      <c r="D134" s="123"/>
      <c r="E134" s="123"/>
      <c r="F134" s="123"/>
      <c r="G134" s="123"/>
      <c r="H134" s="123"/>
      <c r="I134" s="123"/>
      <c r="J134" s="123"/>
      <c r="K134" s="136"/>
      <c r="L134" s="136"/>
      <c r="M134" s="136"/>
      <c r="N134" s="136"/>
      <c r="O134" s="136"/>
      <c r="P134" s="274">
        <v>10.91</v>
      </c>
      <c r="Q134" s="274">
        <f t="shared" ref="Q134:U134" si="101">ABS(Q29*Q188)</f>
        <v>0</v>
      </c>
      <c r="R134" s="274">
        <f t="shared" si="101"/>
        <v>0</v>
      </c>
      <c r="S134" s="274">
        <f t="shared" si="101"/>
        <v>0</v>
      </c>
      <c r="T134" s="274">
        <f t="shared" si="101"/>
        <v>0</v>
      </c>
      <c r="U134" s="274">
        <f t="shared" si="101"/>
        <v>0</v>
      </c>
      <c r="V134" s="94"/>
      <c r="W134" s="94"/>
      <c r="X134" s="94"/>
      <c r="Y134" s="94"/>
      <c r="Z134" s="94"/>
      <c r="AA134" s="94"/>
      <c r="AB134" s="94"/>
      <c r="AC134" s="94"/>
    </row>
    <row r="135" ht="15.75" customHeight="1">
      <c r="A135" s="122"/>
      <c r="B135" s="122" t="s">
        <v>106</v>
      </c>
      <c r="C135" s="122"/>
      <c r="D135" s="123"/>
      <c r="E135" s="123"/>
      <c r="F135" s="123"/>
      <c r="G135" s="123"/>
      <c r="H135" s="123"/>
      <c r="I135" s="123"/>
      <c r="J135" s="123"/>
      <c r="K135" s="136"/>
      <c r="L135" s="275"/>
      <c r="M135" s="136"/>
      <c r="N135" s="136"/>
      <c r="O135" s="136"/>
      <c r="P135" s="274"/>
      <c r="Q135" s="274"/>
      <c r="R135" s="274"/>
      <c r="S135" s="274"/>
      <c r="T135" s="274"/>
      <c r="U135" s="274"/>
      <c r="V135" s="94"/>
      <c r="W135" s="94"/>
      <c r="X135" s="94"/>
      <c r="Y135" s="94"/>
      <c r="Z135" s="94"/>
      <c r="AA135" s="94"/>
      <c r="AB135" s="94"/>
      <c r="AC135" s="94"/>
    </row>
    <row r="136" ht="15.75" customHeight="1">
      <c r="A136" s="122"/>
      <c r="B136" s="122" t="s">
        <v>107</v>
      </c>
      <c r="C136" s="122"/>
      <c r="D136" s="123"/>
      <c r="E136" s="123"/>
      <c r="F136" s="123"/>
      <c r="G136" s="123"/>
      <c r="H136" s="123"/>
      <c r="I136" s="123"/>
      <c r="J136" s="123"/>
      <c r="K136" s="136"/>
      <c r="L136" s="136"/>
      <c r="M136" s="136"/>
      <c r="N136" s="136"/>
      <c r="O136" s="136"/>
      <c r="P136" s="274"/>
      <c r="Q136" s="274"/>
      <c r="R136" s="274"/>
      <c r="S136" s="274"/>
      <c r="T136" s="274"/>
      <c r="U136" s="274"/>
      <c r="V136" s="94"/>
      <c r="W136" s="94"/>
      <c r="X136" s="94"/>
      <c r="Y136" s="94"/>
      <c r="Z136" s="94"/>
      <c r="AA136" s="94"/>
      <c r="AB136" s="94"/>
      <c r="AC136" s="94"/>
    </row>
    <row r="137" ht="15.75" customHeight="1">
      <c r="A137" s="122"/>
      <c r="B137" s="122" t="s">
        <v>108</v>
      </c>
      <c r="C137" s="122"/>
      <c r="D137" s="123"/>
      <c r="E137" s="123"/>
      <c r="F137" s="123"/>
      <c r="G137" s="123"/>
      <c r="H137" s="123"/>
      <c r="I137" s="123"/>
      <c r="J137" s="123"/>
      <c r="K137" s="275"/>
      <c r="L137" s="275"/>
      <c r="M137" s="275"/>
      <c r="N137" s="275"/>
      <c r="O137" s="275"/>
      <c r="P137" s="274">
        <f t="shared" ref="P137:U137" si="102">ABS(P28)</f>
        <v>0</v>
      </c>
      <c r="Q137" s="274">
        <f t="shared" si="102"/>
        <v>0</v>
      </c>
      <c r="R137" s="274">
        <f t="shared" si="102"/>
        <v>0</v>
      </c>
      <c r="S137" s="274">
        <f t="shared" si="102"/>
        <v>0</v>
      </c>
      <c r="T137" s="274">
        <f t="shared" si="102"/>
        <v>0</v>
      </c>
      <c r="U137" s="274">
        <f t="shared" si="102"/>
        <v>0</v>
      </c>
      <c r="V137" s="94"/>
      <c r="W137" s="94"/>
      <c r="X137" s="94"/>
      <c r="Y137" s="94"/>
      <c r="Z137" s="94"/>
      <c r="AA137" s="94"/>
      <c r="AB137" s="94"/>
      <c r="AC137" s="94"/>
    </row>
    <row r="138" ht="15.75" customHeight="1">
      <c r="A138" s="122"/>
      <c r="B138" s="276" t="s">
        <v>109</v>
      </c>
      <c r="C138" s="122"/>
      <c r="D138" s="123"/>
      <c r="E138" s="123"/>
      <c r="F138" s="123"/>
      <c r="G138" s="123"/>
      <c r="H138" s="123"/>
      <c r="I138" s="123"/>
      <c r="J138" s="123"/>
      <c r="K138" s="136"/>
      <c r="L138" s="136"/>
      <c r="M138" s="136"/>
      <c r="N138" s="136"/>
      <c r="O138" s="136"/>
      <c r="P138" s="274"/>
      <c r="Q138" s="274"/>
      <c r="R138" s="274"/>
      <c r="S138" s="274"/>
      <c r="T138" s="274"/>
      <c r="U138" s="274"/>
      <c r="V138" s="94"/>
      <c r="W138" s="94"/>
      <c r="X138" s="94"/>
      <c r="Y138" s="94"/>
      <c r="Z138" s="94"/>
      <c r="AA138" s="94"/>
      <c r="AB138" s="94"/>
      <c r="AC138" s="94"/>
    </row>
    <row r="139" ht="15.75" customHeight="1">
      <c r="A139" s="122"/>
      <c r="B139" s="276" t="s">
        <v>110</v>
      </c>
      <c r="C139" s="122"/>
      <c r="D139" s="123"/>
      <c r="E139" s="123"/>
      <c r="F139" s="123"/>
      <c r="G139" s="123"/>
      <c r="H139" s="123"/>
      <c r="I139" s="123"/>
      <c r="J139" s="123"/>
      <c r="K139" s="136"/>
      <c r="L139" s="136"/>
      <c r="M139" s="136"/>
      <c r="N139" s="136"/>
      <c r="O139" s="136"/>
      <c r="P139" s="274">
        <f t="shared" ref="P139:U139" si="103">P7*P189</f>
        <v>0</v>
      </c>
      <c r="Q139" s="274">
        <f t="shared" si="103"/>
        <v>0</v>
      </c>
      <c r="R139" s="274">
        <f t="shared" si="103"/>
        <v>0</v>
      </c>
      <c r="S139" s="274">
        <f t="shared" si="103"/>
        <v>0</v>
      </c>
      <c r="T139" s="274">
        <f t="shared" si="103"/>
        <v>0</v>
      </c>
      <c r="U139" s="274">
        <f t="shared" si="103"/>
        <v>0</v>
      </c>
      <c r="V139" s="94"/>
      <c r="W139" s="94"/>
      <c r="X139" s="94"/>
      <c r="Y139" s="94"/>
      <c r="Z139" s="94"/>
      <c r="AA139" s="94"/>
      <c r="AB139" s="94"/>
      <c r="AC139" s="94"/>
    </row>
    <row r="140" ht="15.75" customHeight="1">
      <c r="A140" s="122"/>
      <c r="B140" s="122" t="s">
        <v>111</v>
      </c>
      <c r="C140" s="122"/>
      <c r="D140" s="123"/>
      <c r="E140" s="123"/>
      <c r="F140" s="123"/>
      <c r="G140" s="123"/>
      <c r="H140" s="123"/>
      <c r="I140" s="123"/>
      <c r="J140" s="123"/>
      <c r="K140" s="277"/>
      <c r="L140" s="277"/>
      <c r="M140" s="277"/>
      <c r="N140" s="88">
        <v>-3.22</v>
      </c>
      <c r="O140" s="88">
        <v>-9.63</v>
      </c>
      <c r="P140" s="274">
        <v>17.11</v>
      </c>
      <c r="Q140" s="274">
        <f t="shared" ref="Q140:U140" si="104">Q7*Q190</f>
        <v>-13.237629</v>
      </c>
      <c r="R140" s="274">
        <f t="shared" si="104"/>
        <v>-13.7550642</v>
      </c>
      <c r="S140" s="274">
        <f t="shared" si="104"/>
        <v>-14.60439816</v>
      </c>
      <c r="T140" s="274">
        <f t="shared" si="104"/>
        <v>-15.51101578</v>
      </c>
      <c r="U140" s="274">
        <f t="shared" si="104"/>
        <v>-16.47913995</v>
      </c>
      <c r="V140" s="94"/>
      <c r="W140" s="94"/>
      <c r="X140" s="94"/>
      <c r="Y140" s="94"/>
      <c r="Z140" s="94"/>
      <c r="AA140" s="94"/>
      <c r="AB140" s="94"/>
      <c r="AC140" s="94"/>
    </row>
    <row r="141" ht="15.75" customHeight="1">
      <c r="A141" s="122"/>
      <c r="B141" s="122" t="s">
        <v>112</v>
      </c>
      <c r="C141" s="122"/>
      <c r="D141" s="123"/>
      <c r="E141" s="123"/>
      <c r="F141" s="123"/>
      <c r="G141" s="123"/>
      <c r="H141" s="123"/>
      <c r="I141" s="123"/>
      <c r="J141" s="278"/>
      <c r="K141" s="279"/>
      <c r="L141" s="279"/>
      <c r="M141" s="279"/>
      <c r="N141" s="280">
        <v>19.09</v>
      </c>
      <c r="O141" s="88">
        <v>-4.44</v>
      </c>
      <c r="P141" s="274"/>
      <c r="Q141" s="274"/>
      <c r="R141" s="274"/>
      <c r="S141" s="274"/>
      <c r="T141" s="274"/>
      <c r="U141" s="274"/>
      <c r="V141" s="94"/>
      <c r="W141" s="94"/>
      <c r="X141" s="94"/>
      <c r="Y141" s="94"/>
      <c r="Z141" s="94"/>
      <c r="AA141" s="94"/>
      <c r="AB141" s="94"/>
      <c r="AC141" s="94"/>
    </row>
    <row r="142" ht="15.75" customHeight="1">
      <c r="A142" s="122"/>
      <c r="B142" s="122" t="s">
        <v>113</v>
      </c>
      <c r="C142" s="122"/>
      <c r="D142" s="123"/>
      <c r="E142" s="123"/>
      <c r="F142" s="123"/>
      <c r="G142" s="123"/>
      <c r="H142" s="123"/>
      <c r="I142" s="123"/>
      <c r="J142" s="278"/>
      <c r="K142" s="279"/>
      <c r="L142" s="279"/>
      <c r="M142" s="279"/>
      <c r="N142" s="280">
        <v>-38.44</v>
      </c>
      <c r="O142" s="88">
        <v>-26.75</v>
      </c>
      <c r="P142" s="274"/>
      <c r="Q142" s="274">
        <v>0.0</v>
      </c>
      <c r="R142" s="274">
        <v>0.0</v>
      </c>
      <c r="S142" s="274">
        <v>0.0</v>
      </c>
      <c r="T142" s="274">
        <v>0.0</v>
      </c>
      <c r="U142" s="274">
        <v>0.0</v>
      </c>
      <c r="V142" s="94"/>
      <c r="W142" s="94"/>
      <c r="X142" s="94"/>
      <c r="Y142" s="94"/>
      <c r="Z142" s="94"/>
      <c r="AA142" s="94"/>
      <c r="AB142" s="94"/>
      <c r="AC142" s="94"/>
    </row>
    <row r="143" ht="15.75" customHeight="1">
      <c r="A143" s="97"/>
      <c r="B143" s="97" t="s">
        <v>114</v>
      </c>
      <c r="C143" s="97"/>
      <c r="D143" s="206"/>
      <c r="E143" s="206"/>
      <c r="F143" s="206"/>
      <c r="G143" s="206"/>
      <c r="H143" s="206"/>
      <c r="I143" s="206"/>
      <c r="J143" s="206"/>
      <c r="K143" s="281">
        <f t="shared" ref="K143:U143" si="105">SUM(K133:K142)+K132</f>
        <v>0</v>
      </c>
      <c r="L143" s="281">
        <f t="shared" si="105"/>
        <v>0</v>
      </c>
      <c r="M143" s="281">
        <f t="shared" si="105"/>
        <v>0</v>
      </c>
      <c r="N143" s="281">
        <f t="shared" si="105"/>
        <v>113.22</v>
      </c>
      <c r="O143" s="281">
        <f t="shared" si="105"/>
        <v>63.18</v>
      </c>
      <c r="P143" s="282">
        <f t="shared" si="105"/>
        <v>168.863</v>
      </c>
      <c r="Q143" s="282">
        <f t="shared" si="105"/>
        <v>183.660874</v>
      </c>
      <c r="R143" s="282">
        <f t="shared" si="105"/>
        <v>192.0098986</v>
      </c>
      <c r="S143" s="282">
        <f t="shared" si="105"/>
        <v>206.994134</v>
      </c>
      <c r="T143" s="282">
        <f t="shared" si="105"/>
        <v>223.0793191</v>
      </c>
      <c r="U143" s="282">
        <f t="shared" si="105"/>
        <v>240.3492071</v>
      </c>
      <c r="V143" s="283"/>
      <c r="W143" s="283"/>
      <c r="X143" s="283"/>
      <c r="Y143" s="283"/>
      <c r="Z143" s="283"/>
      <c r="AA143" s="283"/>
      <c r="AB143" s="283"/>
      <c r="AC143" s="283"/>
    </row>
    <row r="144" ht="15.75" customHeight="1">
      <c r="A144" s="119"/>
      <c r="B144" s="119"/>
      <c r="C144" s="119" t="s">
        <v>115</v>
      </c>
      <c r="D144" s="120"/>
      <c r="E144" s="120"/>
      <c r="F144" s="120"/>
      <c r="G144" s="120"/>
      <c r="H144" s="120"/>
      <c r="I144" s="120"/>
      <c r="J144" s="284"/>
      <c r="K144" s="285">
        <f t="shared" ref="K144:U144" si="106">K143-K140</f>
        <v>0</v>
      </c>
      <c r="L144" s="285">
        <f t="shared" si="106"/>
        <v>0</v>
      </c>
      <c r="M144" s="285">
        <f t="shared" si="106"/>
        <v>0</v>
      </c>
      <c r="N144" s="285">
        <f t="shared" si="106"/>
        <v>116.44</v>
      </c>
      <c r="O144" s="285">
        <f t="shared" si="106"/>
        <v>72.81</v>
      </c>
      <c r="P144" s="286">
        <f t="shared" si="106"/>
        <v>151.753</v>
      </c>
      <c r="Q144" s="286">
        <f t="shared" si="106"/>
        <v>196.898503</v>
      </c>
      <c r="R144" s="286">
        <f t="shared" si="106"/>
        <v>205.7649628</v>
      </c>
      <c r="S144" s="286">
        <f t="shared" si="106"/>
        <v>221.5985321</v>
      </c>
      <c r="T144" s="286">
        <f t="shared" si="106"/>
        <v>238.5903349</v>
      </c>
      <c r="U144" s="286">
        <f t="shared" si="106"/>
        <v>256.8283471</v>
      </c>
      <c r="V144" s="137"/>
      <c r="W144" s="137"/>
      <c r="X144" s="137"/>
      <c r="Y144" s="137"/>
      <c r="Z144" s="137"/>
      <c r="AA144" s="137"/>
      <c r="AB144" s="137"/>
      <c r="AC144" s="137"/>
    </row>
    <row r="145" ht="15.75" customHeight="1">
      <c r="A145" s="122"/>
      <c r="B145" s="122"/>
      <c r="C145" s="122"/>
      <c r="D145" s="123"/>
      <c r="E145" s="123"/>
      <c r="F145" s="123"/>
      <c r="G145" s="123"/>
      <c r="H145" s="123"/>
      <c r="I145" s="123"/>
      <c r="J145" s="287"/>
      <c r="K145" s="87"/>
      <c r="L145" s="87"/>
      <c r="M145" s="87"/>
      <c r="N145" s="87"/>
      <c r="O145" s="66"/>
      <c r="P145" s="274"/>
      <c r="Q145" s="274"/>
      <c r="R145" s="274"/>
      <c r="S145" s="274"/>
      <c r="T145" s="274"/>
      <c r="U145" s="274"/>
      <c r="V145" s="94"/>
      <c r="W145" s="94"/>
      <c r="X145" s="94"/>
      <c r="Y145" s="94"/>
      <c r="Z145" s="94"/>
      <c r="AA145" s="94"/>
      <c r="AB145" s="94"/>
      <c r="AC145" s="94"/>
    </row>
    <row r="146" ht="15.75" customHeight="1">
      <c r="A146" s="122"/>
      <c r="B146" s="122" t="s">
        <v>116</v>
      </c>
      <c r="C146" s="122"/>
      <c r="D146" s="123"/>
      <c r="E146" s="123"/>
      <c r="F146" s="123"/>
      <c r="G146" s="123"/>
      <c r="H146" s="123"/>
      <c r="I146" s="123"/>
      <c r="J146" s="287"/>
      <c r="K146" s="136"/>
      <c r="L146" s="136"/>
      <c r="M146" s="136"/>
      <c r="N146" s="82">
        <v>-9.55</v>
      </c>
      <c r="O146" s="88">
        <v>-6.26</v>
      </c>
      <c r="P146" s="274">
        <v>-8.873</v>
      </c>
      <c r="Q146" s="274">
        <f t="shared" ref="Q146:U146" si="107">Q7*Q192</f>
        <v>-9.147955</v>
      </c>
      <c r="R146" s="274">
        <f t="shared" si="107"/>
        <v>-9.505532169</v>
      </c>
      <c r="S146" s="274">
        <f t="shared" si="107"/>
        <v>-10.09247028</v>
      </c>
      <c r="T146" s="274">
        <f t="shared" si="107"/>
        <v>-10.71899465</v>
      </c>
      <c r="U146" s="274">
        <f t="shared" si="107"/>
        <v>-11.38802355</v>
      </c>
      <c r="V146" s="94"/>
      <c r="W146" s="94"/>
      <c r="X146" s="94"/>
      <c r="Y146" s="94"/>
      <c r="Z146" s="94"/>
      <c r="AA146" s="94"/>
      <c r="AB146" s="94"/>
      <c r="AC146" s="94"/>
    </row>
    <row r="147" ht="15.75" customHeight="1">
      <c r="A147" s="122"/>
      <c r="B147" s="288" t="s">
        <v>117</v>
      </c>
      <c r="C147" s="288"/>
      <c r="D147" s="123"/>
      <c r="E147" s="123"/>
      <c r="F147" s="123"/>
      <c r="G147" s="123"/>
      <c r="H147" s="123"/>
      <c r="I147" s="123"/>
      <c r="J147" s="287"/>
      <c r="K147" s="136"/>
      <c r="L147" s="136"/>
      <c r="M147" s="136"/>
      <c r="N147" s="82">
        <v>-6.665</v>
      </c>
      <c r="O147" s="88">
        <v>-7.35</v>
      </c>
      <c r="P147" s="274">
        <v>-7.745</v>
      </c>
      <c r="Q147" s="274">
        <f t="shared" ref="Q147:U147" si="108">Q7*Q196</f>
        <v>-10.12245093</v>
      </c>
      <c r="R147" s="274">
        <f t="shared" si="108"/>
        <v>-10.51811939</v>
      </c>
      <c r="S147" s="274">
        <f t="shared" si="108"/>
        <v>-11.16758172</v>
      </c>
      <c r="T147" s="274">
        <f t="shared" si="108"/>
        <v>-11.86084729</v>
      </c>
      <c r="U147" s="274">
        <f t="shared" si="108"/>
        <v>-12.60114523</v>
      </c>
      <c r="V147" s="94"/>
      <c r="W147" s="94"/>
      <c r="X147" s="94"/>
      <c r="Y147" s="94"/>
      <c r="Z147" s="94"/>
      <c r="AA147" s="94"/>
      <c r="AB147" s="94"/>
      <c r="AC147" s="94"/>
    </row>
    <row r="148" ht="15.75" customHeight="1">
      <c r="A148" s="122"/>
      <c r="B148" s="288" t="s">
        <v>118</v>
      </c>
      <c r="C148" s="288"/>
      <c r="D148" s="123"/>
      <c r="E148" s="123"/>
      <c r="F148" s="123"/>
      <c r="G148" s="123"/>
      <c r="H148" s="123"/>
      <c r="I148" s="123"/>
      <c r="J148" s="123"/>
      <c r="K148" s="136"/>
      <c r="L148" s="136"/>
      <c r="M148" s="136"/>
      <c r="N148" s="82">
        <v>-33.19</v>
      </c>
      <c r="O148" s="88">
        <v>-32.32</v>
      </c>
      <c r="P148" s="274">
        <v>-31.568</v>
      </c>
      <c r="Q148" s="274">
        <f t="shared" ref="Q148:U148" si="109">Q7*Q193</f>
        <v>-44.51123999</v>
      </c>
      <c r="R148" s="274">
        <f t="shared" si="109"/>
        <v>-46.2511046</v>
      </c>
      <c r="S148" s="274">
        <f t="shared" si="109"/>
        <v>-49.10697161</v>
      </c>
      <c r="T148" s="274">
        <f t="shared" si="109"/>
        <v>-52.15545366</v>
      </c>
      <c r="U148" s="274">
        <f t="shared" si="109"/>
        <v>-55.41075016</v>
      </c>
      <c r="V148" s="94"/>
      <c r="W148" s="94"/>
      <c r="X148" s="94"/>
      <c r="Y148" s="94"/>
      <c r="Z148" s="94"/>
      <c r="AA148" s="94"/>
      <c r="AB148" s="94"/>
      <c r="AC148" s="94"/>
    </row>
    <row r="149" ht="15.75" customHeight="1">
      <c r="A149" s="122"/>
      <c r="B149" s="288" t="s">
        <v>119</v>
      </c>
      <c r="C149" s="288"/>
      <c r="D149" s="123"/>
      <c r="E149" s="123"/>
      <c r="F149" s="123"/>
      <c r="G149" s="123"/>
      <c r="H149" s="123"/>
      <c r="I149" s="123"/>
      <c r="J149" s="287"/>
      <c r="K149" s="136"/>
      <c r="L149" s="136"/>
      <c r="M149" s="136"/>
      <c r="N149" s="88"/>
      <c r="O149" s="88"/>
      <c r="P149" s="274"/>
      <c r="Q149" s="274"/>
      <c r="R149" s="274"/>
      <c r="S149" s="274"/>
      <c r="T149" s="274"/>
      <c r="U149" s="274"/>
      <c r="V149" s="94"/>
      <c r="W149" s="94"/>
      <c r="X149" s="94"/>
      <c r="Y149" s="94"/>
      <c r="Z149" s="94"/>
      <c r="AA149" s="94"/>
      <c r="AB149" s="94"/>
      <c r="AC149" s="94"/>
    </row>
    <row r="150" ht="15.75" customHeight="1">
      <c r="A150" s="122"/>
      <c r="B150" s="288" t="s">
        <v>120</v>
      </c>
      <c r="C150" s="288"/>
      <c r="D150" s="123"/>
      <c r="E150" s="123"/>
      <c r="F150" s="123"/>
      <c r="G150" s="123"/>
      <c r="H150" s="123"/>
      <c r="I150" s="123"/>
      <c r="J150" s="287"/>
      <c r="K150" s="136"/>
      <c r="L150" s="136"/>
      <c r="M150" s="136"/>
      <c r="N150" s="88"/>
      <c r="O150" s="88"/>
      <c r="P150" s="274"/>
      <c r="Q150" s="274"/>
      <c r="R150" s="274"/>
      <c r="S150" s="274"/>
      <c r="T150" s="274"/>
      <c r="U150" s="274"/>
      <c r="V150" s="94"/>
      <c r="W150" s="94"/>
      <c r="X150" s="94"/>
      <c r="Y150" s="94"/>
      <c r="Z150" s="94"/>
      <c r="AA150" s="94"/>
      <c r="AB150" s="94"/>
      <c r="AC150" s="94"/>
    </row>
    <row r="151" ht="15.75" customHeight="1">
      <c r="A151" s="122"/>
      <c r="B151" s="288" t="s">
        <v>121</v>
      </c>
      <c r="C151" s="288"/>
      <c r="D151" s="123"/>
      <c r="E151" s="123"/>
      <c r="F151" s="123"/>
      <c r="G151" s="123"/>
      <c r="H151" s="123"/>
      <c r="I151" s="123"/>
      <c r="J151" s="123"/>
      <c r="K151" s="136"/>
      <c r="L151" s="136"/>
      <c r="M151" s="136"/>
      <c r="N151" s="88"/>
      <c r="O151" s="88"/>
      <c r="P151" s="274">
        <f t="shared" ref="P151:U151" si="110">P143*P194</f>
        <v>0</v>
      </c>
      <c r="Q151" s="274">
        <f t="shared" si="110"/>
        <v>0</v>
      </c>
      <c r="R151" s="274">
        <f t="shared" si="110"/>
        <v>0</v>
      </c>
      <c r="S151" s="274">
        <f t="shared" si="110"/>
        <v>0</v>
      </c>
      <c r="T151" s="274">
        <f t="shared" si="110"/>
        <v>0</v>
      </c>
      <c r="U151" s="274">
        <f t="shared" si="110"/>
        <v>0</v>
      </c>
      <c r="V151" s="94"/>
      <c r="W151" s="94"/>
      <c r="X151" s="94"/>
      <c r="Y151" s="94"/>
      <c r="Z151" s="94"/>
      <c r="AA151" s="94"/>
      <c r="AB151" s="94"/>
      <c r="AC151" s="94"/>
    </row>
    <row r="152" ht="15.75" customHeight="1">
      <c r="A152" s="122"/>
      <c r="B152" s="288" t="s">
        <v>122</v>
      </c>
      <c r="C152" s="288"/>
      <c r="D152" s="123"/>
      <c r="E152" s="123"/>
      <c r="F152" s="123"/>
      <c r="G152" s="123"/>
      <c r="H152" s="123"/>
      <c r="I152" s="123"/>
      <c r="J152" s="123"/>
      <c r="K152" s="136"/>
      <c r="L152" s="136"/>
      <c r="M152" s="136"/>
      <c r="N152" s="88"/>
      <c r="O152" s="88">
        <v>-0.2</v>
      </c>
      <c r="P152" s="274"/>
      <c r="Q152" s="274">
        <f t="shared" ref="Q152:U152" si="111">Q7*Q201</f>
        <v>-0.2754408415</v>
      </c>
      <c r="R152" s="274">
        <f t="shared" si="111"/>
        <v>-0.2862073304</v>
      </c>
      <c r="S152" s="274">
        <f t="shared" si="111"/>
        <v>-0.3038797748</v>
      </c>
      <c r="T152" s="274">
        <f t="shared" si="111"/>
        <v>-0.322744144</v>
      </c>
      <c r="U152" s="274">
        <f t="shared" si="111"/>
        <v>-0.3428883055</v>
      </c>
      <c r="V152" s="94"/>
      <c r="W152" s="94"/>
      <c r="X152" s="94"/>
      <c r="Y152" s="94"/>
      <c r="Z152" s="94"/>
      <c r="AA152" s="94"/>
      <c r="AB152" s="94"/>
      <c r="AC152" s="94"/>
    </row>
    <row r="153" ht="15.75" customHeight="1">
      <c r="A153" s="97"/>
      <c r="B153" s="97" t="s">
        <v>123</v>
      </c>
      <c r="C153" s="97"/>
      <c r="D153" s="206"/>
      <c r="E153" s="206"/>
      <c r="F153" s="206"/>
      <c r="G153" s="206"/>
      <c r="H153" s="206"/>
      <c r="I153" s="206"/>
      <c r="J153" s="206"/>
      <c r="K153" s="281">
        <f t="shared" ref="K153:U153" si="112">K146+K147+K149+K150+K148+K151+K152</f>
        <v>0</v>
      </c>
      <c r="L153" s="281">
        <f t="shared" si="112"/>
        <v>0</v>
      </c>
      <c r="M153" s="281">
        <f t="shared" si="112"/>
        <v>0</v>
      </c>
      <c r="N153" s="281">
        <f t="shared" si="112"/>
        <v>-49.405</v>
      </c>
      <c r="O153" s="281">
        <f t="shared" si="112"/>
        <v>-46.13</v>
      </c>
      <c r="P153" s="282">
        <f t="shared" si="112"/>
        <v>-48.186</v>
      </c>
      <c r="Q153" s="282">
        <f t="shared" si="112"/>
        <v>-64.05708675</v>
      </c>
      <c r="R153" s="282">
        <f t="shared" si="112"/>
        <v>-66.56096349</v>
      </c>
      <c r="S153" s="282">
        <f t="shared" si="112"/>
        <v>-70.67090339</v>
      </c>
      <c r="T153" s="282">
        <f t="shared" si="112"/>
        <v>-75.05803975</v>
      </c>
      <c r="U153" s="282">
        <f t="shared" si="112"/>
        <v>-79.74280724</v>
      </c>
      <c r="V153" s="283"/>
      <c r="W153" s="283"/>
      <c r="X153" s="283"/>
      <c r="Y153" s="283"/>
      <c r="Z153" s="283"/>
      <c r="AA153" s="283"/>
      <c r="AB153" s="283"/>
      <c r="AC153" s="283"/>
    </row>
    <row r="154" ht="15.75" customHeight="1">
      <c r="A154" s="15"/>
      <c r="B154" s="15"/>
      <c r="C154" s="15"/>
      <c r="D154" s="28"/>
      <c r="E154" s="28"/>
      <c r="F154" s="28"/>
      <c r="G154" s="28"/>
      <c r="H154" s="28"/>
      <c r="I154" s="28"/>
      <c r="J154" s="289"/>
      <c r="K154" s="76"/>
      <c r="L154" s="76"/>
      <c r="M154" s="76"/>
      <c r="N154" s="76"/>
      <c r="O154" s="76"/>
      <c r="P154" s="290"/>
      <c r="Q154" s="290"/>
      <c r="R154" s="290"/>
      <c r="S154" s="290"/>
      <c r="T154" s="290"/>
      <c r="U154" s="290"/>
    </row>
    <row r="155" ht="15.75" customHeight="1">
      <c r="A155" s="122"/>
      <c r="B155" s="122" t="s">
        <v>124</v>
      </c>
      <c r="C155" s="122"/>
      <c r="D155" s="123"/>
      <c r="E155" s="123"/>
      <c r="F155" s="123"/>
      <c r="G155" s="123"/>
      <c r="H155" s="123"/>
      <c r="I155" s="123"/>
      <c r="J155" s="123"/>
      <c r="K155" s="136"/>
      <c r="L155" s="136"/>
      <c r="M155" s="136"/>
      <c r="N155" s="136"/>
      <c r="O155" s="136"/>
      <c r="P155" s="274"/>
      <c r="Q155" s="274"/>
      <c r="R155" s="274"/>
      <c r="S155" s="274"/>
      <c r="T155" s="274"/>
      <c r="U155" s="274"/>
      <c r="V155" s="94"/>
      <c r="W155" s="94"/>
      <c r="X155" s="94"/>
      <c r="Y155" s="94"/>
      <c r="Z155" s="94"/>
      <c r="AA155" s="94"/>
      <c r="AB155" s="94"/>
      <c r="AC155" s="94"/>
    </row>
    <row r="156" ht="15.75" customHeight="1">
      <c r="A156" s="122"/>
      <c r="B156" s="122" t="s">
        <v>125</v>
      </c>
      <c r="C156" s="122"/>
      <c r="D156" s="123"/>
      <c r="E156" s="123"/>
      <c r="F156" s="123"/>
      <c r="G156" s="123"/>
      <c r="H156" s="123"/>
      <c r="I156" s="123"/>
      <c r="J156" s="123"/>
      <c r="K156" s="136"/>
      <c r="L156" s="136"/>
      <c r="M156" s="94"/>
      <c r="N156" s="94"/>
      <c r="O156" s="94"/>
      <c r="P156" s="274"/>
      <c r="Q156" s="274"/>
      <c r="R156" s="274"/>
      <c r="S156" s="274"/>
      <c r="T156" s="274"/>
      <c r="U156" s="274"/>
      <c r="V156" s="94"/>
      <c r="W156" s="94"/>
      <c r="X156" s="94"/>
      <c r="Y156" s="94"/>
      <c r="Z156" s="94"/>
      <c r="AA156" s="94"/>
      <c r="AB156" s="94"/>
      <c r="AC156" s="94"/>
    </row>
    <row r="157" ht="15.75" customHeight="1">
      <c r="A157" s="122"/>
      <c r="B157" s="122"/>
      <c r="C157" s="122" t="s">
        <v>126</v>
      </c>
      <c r="D157" s="123"/>
      <c r="E157" s="123"/>
      <c r="F157" s="123"/>
      <c r="G157" s="123"/>
      <c r="H157" s="123"/>
      <c r="I157" s="123"/>
      <c r="J157" s="123"/>
      <c r="K157" s="136"/>
      <c r="L157" s="136"/>
      <c r="M157" s="136"/>
      <c r="N157" s="136"/>
      <c r="O157" s="136"/>
      <c r="P157" s="291">
        <v>0.0</v>
      </c>
      <c r="Q157" s="291">
        <v>0.0</v>
      </c>
      <c r="R157" s="291">
        <v>0.0</v>
      </c>
      <c r="S157" s="291">
        <v>0.0</v>
      </c>
      <c r="T157" s="291">
        <v>0.0</v>
      </c>
      <c r="U157" s="291">
        <v>0.0</v>
      </c>
      <c r="V157" s="66"/>
      <c r="W157" s="94"/>
      <c r="X157" s="94"/>
      <c r="Y157" s="94"/>
      <c r="Z157" s="94"/>
      <c r="AA157" s="94"/>
      <c r="AB157" s="94"/>
      <c r="AC157" s="94"/>
    </row>
    <row r="158" ht="15.75" customHeight="1">
      <c r="A158" s="122"/>
      <c r="B158" s="122" t="s">
        <v>127</v>
      </c>
      <c r="C158" s="122"/>
      <c r="D158" s="123"/>
      <c r="E158" s="123"/>
      <c r="F158" s="123"/>
      <c r="G158" s="123"/>
      <c r="H158" s="123"/>
      <c r="I158" s="123"/>
      <c r="J158" s="123"/>
      <c r="K158" s="136"/>
      <c r="L158" s="136"/>
      <c r="M158" s="136"/>
      <c r="N158" s="136"/>
      <c r="O158" s="136"/>
      <c r="P158" s="274">
        <v>0.0</v>
      </c>
      <c r="Q158" s="274">
        <v>0.0</v>
      </c>
      <c r="R158" s="274">
        <v>0.0</v>
      </c>
      <c r="S158" s="274">
        <v>0.0</v>
      </c>
      <c r="T158" s="274">
        <v>0.0</v>
      </c>
      <c r="U158" s="274">
        <v>0.0</v>
      </c>
      <c r="V158" s="94"/>
      <c r="W158" s="94"/>
      <c r="X158" s="94"/>
      <c r="Y158" s="94"/>
      <c r="Z158" s="94"/>
      <c r="AA158" s="94"/>
      <c r="AB158" s="94"/>
      <c r="AC158" s="94"/>
    </row>
    <row r="159" ht="15.75" customHeight="1">
      <c r="A159" s="122"/>
      <c r="B159" s="122" t="s">
        <v>128</v>
      </c>
      <c r="C159" s="122"/>
      <c r="D159" s="123"/>
      <c r="E159" s="123"/>
      <c r="F159" s="123"/>
      <c r="G159" s="123"/>
      <c r="H159" s="123"/>
      <c r="I159" s="123"/>
      <c r="J159" s="123"/>
      <c r="K159" s="66"/>
      <c r="L159" s="66"/>
      <c r="M159" s="66"/>
      <c r="N159" s="269">
        <v>0.32</v>
      </c>
      <c r="O159" s="269"/>
      <c r="P159" s="274">
        <v>-28.69</v>
      </c>
      <c r="Q159" s="274"/>
      <c r="R159" s="274"/>
      <c r="S159" s="274"/>
      <c r="T159" s="274"/>
      <c r="U159" s="274"/>
      <c r="V159" s="94"/>
      <c r="W159" s="94"/>
      <c r="X159" s="94"/>
      <c r="Y159" s="94"/>
      <c r="Z159" s="94"/>
      <c r="AA159" s="94"/>
      <c r="AB159" s="94"/>
      <c r="AC159" s="94"/>
    </row>
    <row r="160" ht="15.75" customHeight="1">
      <c r="A160" s="122"/>
      <c r="B160" s="122" t="s">
        <v>129</v>
      </c>
      <c r="C160" s="122"/>
      <c r="D160" s="123"/>
      <c r="E160" s="123"/>
      <c r="F160" s="123"/>
      <c r="G160" s="123"/>
      <c r="H160" s="123"/>
      <c r="I160" s="123"/>
      <c r="J160" s="123"/>
      <c r="K160" s="136"/>
      <c r="L160" s="66"/>
      <c r="M160" s="66"/>
      <c r="N160" s="88">
        <v>4.43</v>
      </c>
      <c r="O160" s="88"/>
      <c r="P160" s="274">
        <v>-4.401</v>
      </c>
      <c r="Q160" s="274">
        <f t="shared" ref="Q160:U160" si="113">-Q58*Q66</f>
        <v>-7.562584921</v>
      </c>
      <c r="R160" s="274">
        <f t="shared" si="113"/>
        <v>-11.08337345</v>
      </c>
      <c r="S160" s="274">
        <f t="shared" si="113"/>
        <v>-17.12387503</v>
      </c>
      <c r="T160" s="274">
        <f t="shared" si="113"/>
        <v>-18.51042985</v>
      </c>
      <c r="U160" s="274">
        <f t="shared" si="113"/>
        <v>-20.00039655</v>
      </c>
      <c r="V160" s="94"/>
      <c r="W160" s="94"/>
      <c r="X160" s="94"/>
      <c r="Y160" s="94"/>
      <c r="Z160" s="94"/>
      <c r="AA160" s="94"/>
      <c r="AB160" s="94"/>
      <c r="AC160" s="94"/>
    </row>
    <row r="161" ht="15.75" customHeight="1">
      <c r="A161" s="122"/>
      <c r="B161" s="122" t="s">
        <v>130</v>
      </c>
      <c r="C161" s="122"/>
      <c r="D161" s="123"/>
      <c r="E161" s="123"/>
      <c r="F161" s="123"/>
      <c r="G161" s="123"/>
      <c r="H161" s="123"/>
      <c r="I161" s="123"/>
      <c r="J161" s="123"/>
      <c r="K161" s="136"/>
      <c r="L161" s="136"/>
      <c r="M161" s="136"/>
      <c r="N161" s="136"/>
      <c r="O161" s="136"/>
      <c r="P161" s="274">
        <f t="shared" ref="P161:U161" si="114">P41*P200</f>
        <v>0</v>
      </c>
      <c r="Q161" s="274">
        <f t="shared" si="114"/>
        <v>0</v>
      </c>
      <c r="R161" s="274">
        <f t="shared" si="114"/>
        <v>0</v>
      </c>
      <c r="S161" s="274">
        <f t="shared" si="114"/>
        <v>0</v>
      </c>
      <c r="T161" s="274">
        <f t="shared" si="114"/>
        <v>0</v>
      </c>
      <c r="U161" s="274">
        <f t="shared" si="114"/>
        <v>0</v>
      </c>
      <c r="V161" s="94"/>
      <c r="W161" s="94"/>
      <c r="X161" s="94"/>
      <c r="Y161" s="94"/>
      <c r="Z161" s="94"/>
      <c r="AA161" s="94"/>
      <c r="AB161" s="94"/>
      <c r="AC161" s="94"/>
    </row>
    <row r="162" ht="15.75" customHeight="1">
      <c r="A162" s="122"/>
      <c r="B162" s="122" t="s">
        <v>131</v>
      </c>
      <c r="C162" s="122"/>
      <c r="D162" s="123"/>
      <c r="E162" s="123"/>
      <c r="F162" s="123"/>
      <c r="G162" s="123"/>
      <c r="H162" s="123"/>
      <c r="I162" s="123"/>
      <c r="J162" s="123"/>
      <c r="K162" s="136"/>
      <c r="L162" s="136"/>
      <c r="M162" s="136"/>
      <c r="N162" s="66">
        <v>-14.7</v>
      </c>
      <c r="O162" s="136">
        <v>-0.39</v>
      </c>
      <c r="P162" s="274">
        <v>0.879</v>
      </c>
      <c r="Q162" s="274"/>
      <c r="R162" s="274"/>
      <c r="S162" s="274"/>
      <c r="T162" s="274"/>
      <c r="U162" s="274"/>
      <c r="V162" s="94"/>
      <c r="W162" s="94"/>
      <c r="X162" s="94"/>
      <c r="Y162" s="94"/>
      <c r="Z162" s="94"/>
      <c r="AA162" s="94"/>
      <c r="AB162" s="94"/>
      <c r="AC162" s="94"/>
    </row>
    <row r="163" ht="15.75" customHeight="1">
      <c r="A163" s="97"/>
      <c r="B163" s="97" t="s">
        <v>132</v>
      </c>
      <c r="C163" s="97"/>
      <c r="D163" s="206"/>
      <c r="E163" s="206"/>
      <c r="F163" s="206"/>
      <c r="G163" s="206"/>
      <c r="H163" s="206"/>
      <c r="I163" s="206"/>
      <c r="J163" s="206"/>
      <c r="K163" s="281">
        <f t="shared" ref="K163:M163" si="115">K157+K158+K159+K160+K161</f>
        <v>0</v>
      </c>
      <c r="L163" s="281">
        <f t="shared" si="115"/>
        <v>0</v>
      </c>
      <c r="M163" s="281">
        <f t="shared" si="115"/>
        <v>0</v>
      </c>
      <c r="N163" s="281">
        <f t="shared" ref="N163:U163" si="116">N157+N158+N159+N160+N161+N162</f>
        <v>-9.95</v>
      </c>
      <c r="O163" s="281">
        <f t="shared" si="116"/>
        <v>-0.39</v>
      </c>
      <c r="P163" s="281">
        <f t="shared" si="116"/>
        <v>-32.212</v>
      </c>
      <c r="Q163" s="281">
        <f t="shared" si="116"/>
        <v>-7.562584921</v>
      </c>
      <c r="R163" s="281">
        <f t="shared" si="116"/>
        <v>-11.08337345</v>
      </c>
      <c r="S163" s="281">
        <f t="shared" si="116"/>
        <v>-17.12387503</v>
      </c>
      <c r="T163" s="281">
        <f t="shared" si="116"/>
        <v>-18.51042985</v>
      </c>
      <c r="U163" s="281">
        <f t="shared" si="116"/>
        <v>-20.00039655</v>
      </c>
      <c r="V163" s="283"/>
      <c r="W163" s="283"/>
      <c r="X163" s="283"/>
      <c r="Y163" s="283"/>
      <c r="Z163" s="283"/>
      <c r="AA163" s="283"/>
      <c r="AB163" s="283"/>
      <c r="AC163" s="283"/>
    </row>
    <row r="164" ht="15.75" customHeight="1">
      <c r="A164" s="97"/>
      <c r="B164" s="97"/>
      <c r="C164" s="97"/>
      <c r="D164" s="206"/>
      <c r="E164" s="206"/>
      <c r="F164" s="206"/>
      <c r="G164" s="206"/>
      <c r="H164" s="206"/>
      <c r="I164" s="206"/>
      <c r="J164" s="206"/>
      <c r="K164" s="281"/>
      <c r="L164" s="281"/>
      <c r="M164" s="281"/>
      <c r="N164" s="281"/>
      <c r="O164" s="281"/>
      <c r="P164" s="282"/>
      <c r="Q164" s="282"/>
      <c r="R164" s="282"/>
      <c r="S164" s="282"/>
      <c r="T164" s="282"/>
      <c r="U164" s="282"/>
      <c r="V164" s="283"/>
      <c r="W164" s="283"/>
      <c r="X164" s="283"/>
      <c r="Y164" s="283"/>
      <c r="Z164" s="283"/>
      <c r="AA164" s="283"/>
      <c r="AB164" s="283"/>
      <c r="AC164" s="283"/>
    </row>
    <row r="165" ht="15.75" customHeight="1">
      <c r="A165" s="292"/>
      <c r="B165" s="293" t="s">
        <v>133</v>
      </c>
      <c r="C165" s="292"/>
      <c r="D165" s="292"/>
      <c r="E165" s="292"/>
      <c r="F165" s="292"/>
      <c r="G165" s="292"/>
      <c r="H165" s="292"/>
      <c r="I165" s="292"/>
      <c r="J165" s="79"/>
      <c r="K165" s="294"/>
      <c r="L165" s="294"/>
      <c r="M165" s="294"/>
      <c r="N165" s="295">
        <f t="shared" ref="N165:U165" si="117">N143+N153+N163</f>
        <v>53.865</v>
      </c>
      <c r="O165" s="295">
        <f t="shared" si="117"/>
        <v>16.66</v>
      </c>
      <c r="P165" s="295">
        <f t="shared" si="117"/>
        <v>88.465</v>
      </c>
      <c r="Q165" s="295">
        <f t="shared" si="117"/>
        <v>112.0412023</v>
      </c>
      <c r="R165" s="295">
        <f t="shared" si="117"/>
        <v>114.3655617</v>
      </c>
      <c r="S165" s="295">
        <f t="shared" si="117"/>
        <v>119.1993556</v>
      </c>
      <c r="T165" s="295">
        <f t="shared" si="117"/>
        <v>129.5108495</v>
      </c>
      <c r="U165" s="295">
        <f t="shared" si="117"/>
        <v>140.6060033</v>
      </c>
      <c r="V165" s="292"/>
      <c r="W165" s="292"/>
      <c r="X165" s="292"/>
      <c r="Y165" s="292"/>
      <c r="Z165" s="292"/>
      <c r="AA165" s="292"/>
      <c r="AB165" s="292"/>
      <c r="AC165" s="292"/>
    </row>
    <row r="166" ht="15.75" customHeight="1">
      <c r="A166" s="292"/>
      <c r="B166" s="292"/>
      <c r="C166" s="292"/>
      <c r="D166" s="292"/>
      <c r="E166" s="292"/>
      <c r="F166" s="292"/>
      <c r="G166" s="292"/>
      <c r="H166" s="292"/>
      <c r="I166" s="292"/>
      <c r="J166" s="296"/>
      <c r="K166" s="294"/>
      <c r="L166" s="294"/>
      <c r="M166" s="294"/>
      <c r="N166" s="294"/>
      <c r="O166" s="294"/>
      <c r="P166" s="294"/>
      <c r="Q166" s="294"/>
      <c r="R166" s="292"/>
      <c r="S166" s="292"/>
      <c r="T166" s="292"/>
      <c r="U166" s="292"/>
      <c r="V166" s="292"/>
      <c r="W166" s="292"/>
      <c r="X166" s="292"/>
      <c r="Y166" s="292"/>
      <c r="Z166" s="292"/>
      <c r="AA166" s="292"/>
      <c r="AB166" s="292"/>
      <c r="AC166" s="292"/>
    </row>
    <row r="167" ht="15.75" customHeight="1">
      <c r="A167" s="292"/>
      <c r="B167" s="297" t="s">
        <v>134</v>
      </c>
      <c r="C167" s="292"/>
      <c r="D167" s="292"/>
      <c r="E167" s="292"/>
      <c r="F167" s="292"/>
      <c r="G167" s="292"/>
      <c r="H167" s="292"/>
      <c r="I167" s="292"/>
      <c r="J167" s="292"/>
      <c r="K167" s="294"/>
      <c r="L167" s="294"/>
      <c r="M167" s="294"/>
      <c r="N167" s="298">
        <v>552.42</v>
      </c>
      <c r="O167" s="298">
        <v>474.16</v>
      </c>
      <c r="P167" s="298">
        <v>511.361</v>
      </c>
      <c r="Q167" s="298">
        <f t="shared" ref="Q167:U167" si="118">Q7*Q205</f>
        <v>573.2490824</v>
      </c>
      <c r="R167" s="298">
        <f t="shared" si="118"/>
        <v>595.6563618</v>
      </c>
      <c r="S167" s="298">
        <f t="shared" si="118"/>
        <v>632.4363559</v>
      </c>
      <c r="T167" s="298">
        <f t="shared" si="118"/>
        <v>671.6969907</v>
      </c>
      <c r="U167" s="298">
        <f t="shared" si="118"/>
        <v>713.6211369</v>
      </c>
      <c r="V167" s="292"/>
      <c r="W167" s="292"/>
      <c r="X167" s="292"/>
      <c r="Y167" s="292"/>
      <c r="Z167" s="292"/>
      <c r="AA167" s="292"/>
      <c r="AB167" s="292"/>
      <c r="AC167" s="292"/>
    </row>
    <row r="168" ht="15.75" customHeight="1">
      <c r="A168" s="122"/>
      <c r="B168" s="122" t="s">
        <v>135</v>
      </c>
      <c r="C168" s="122"/>
      <c r="D168" s="123"/>
      <c r="E168" s="123"/>
      <c r="F168" s="123"/>
      <c r="G168" s="123"/>
      <c r="H168" s="123"/>
      <c r="I168" s="123"/>
      <c r="J168" s="123"/>
      <c r="K168" s="66"/>
      <c r="L168" s="66"/>
      <c r="M168" s="66"/>
      <c r="N168" s="66"/>
      <c r="O168" s="66">
        <v>-7.027</v>
      </c>
      <c r="P168" s="274">
        <v>2.446</v>
      </c>
      <c r="Q168" s="274"/>
      <c r="R168" s="274"/>
      <c r="S168" s="274"/>
      <c r="T168" s="274"/>
      <c r="U168" s="274"/>
      <c r="V168" s="94"/>
      <c r="W168" s="94"/>
      <c r="X168" s="94"/>
      <c r="Y168" s="94"/>
      <c r="Z168" s="94"/>
      <c r="AA168" s="94"/>
      <c r="AB168" s="94"/>
      <c r="AC168" s="94"/>
    </row>
    <row r="169" ht="15.75" customHeight="1">
      <c r="A169" s="122"/>
      <c r="B169" s="122"/>
      <c r="C169" s="122"/>
      <c r="D169" s="123"/>
      <c r="E169" s="123"/>
      <c r="F169" s="123"/>
      <c r="G169" s="123"/>
      <c r="H169" s="123"/>
      <c r="I169" s="123"/>
      <c r="J169" s="123"/>
      <c r="K169" s="66"/>
      <c r="L169" s="66"/>
      <c r="M169" s="66"/>
      <c r="N169" s="66"/>
      <c r="O169" s="66"/>
      <c r="P169" s="66"/>
      <c r="Q169" s="66"/>
      <c r="R169" s="66"/>
      <c r="S169" s="66"/>
      <c r="T169" s="66"/>
      <c r="U169" s="66"/>
      <c r="V169" s="94"/>
      <c r="W169" s="94"/>
      <c r="X169" s="94"/>
      <c r="Y169" s="94"/>
      <c r="Z169" s="94"/>
      <c r="AA169" s="94"/>
      <c r="AB169" s="94"/>
      <c r="AC169" s="94"/>
    </row>
    <row r="170" ht="15.75" customHeight="1">
      <c r="A170" s="122"/>
      <c r="B170" s="122" t="s">
        <v>136</v>
      </c>
      <c r="C170" s="122"/>
      <c r="D170" s="123"/>
      <c r="E170" s="123"/>
      <c r="F170" s="123"/>
      <c r="G170" s="123"/>
      <c r="H170" s="123"/>
      <c r="I170" s="123"/>
      <c r="J170" s="123"/>
      <c r="K170" s="66" t="str">
        <f t="shared" ref="K170:U170" si="119">J87</f>
        <v/>
      </c>
      <c r="L170" s="66">
        <f t="shared" si="119"/>
        <v>468.62</v>
      </c>
      <c r="M170" s="66">
        <f t="shared" si="119"/>
        <v>1255.12</v>
      </c>
      <c r="N170" s="66">
        <f t="shared" si="119"/>
        <v>1618.25</v>
      </c>
      <c r="O170" s="66">
        <f t="shared" si="119"/>
        <v>2227.01</v>
      </c>
      <c r="P170" s="66">
        <f t="shared" si="119"/>
        <v>2710.7</v>
      </c>
      <c r="Q170" s="66">
        <f t="shared" si="119"/>
        <v>3312.97</v>
      </c>
      <c r="R170" s="66">
        <f t="shared" si="119"/>
        <v>3998.260285</v>
      </c>
      <c r="S170" s="66">
        <f t="shared" si="119"/>
        <v>4708.282208</v>
      </c>
      <c r="T170" s="66">
        <f t="shared" si="119"/>
        <v>5459.91792</v>
      </c>
      <c r="U170" s="66">
        <f t="shared" si="119"/>
        <v>6261.12576</v>
      </c>
      <c r="V170" s="94"/>
      <c r="W170" s="94"/>
      <c r="X170" s="94"/>
      <c r="Y170" s="94"/>
      <c r="Z170" s="94"/>
      <c r="AA170" s="94"/>
      <c r="AB170" s="94"/>
      <c r="AC170" s="94"/>
    </row>
    <row r="171" ht="15.75" customHeight="1">
      <c r="A171" s="122"/>
      <c r="B171" s="122" t="s">
        <v>137</v>
      </c>
      <c r="C171" s="122"/>
      <c r="D171" s="123"/>
      <c r="E171" s="123"/>
      <c r="F171" s="123"/>
      <c r="G171" s="123"/>
      <c r="H171" s="123"/>
      <c r="I171" s="123"/>
      <c r="J171" s="123"/>
      <c r="K171" s="66">
        <f t="shared" ref="K171:N171" si="120">K143+K153+K163+K168</f>
        <v>0</v>
      </c>
      <c r="L171" s="66">
        <f t="shared" si="120"/>
        <v>0</v>
      </c>
      <c r="M171" s="66">
        <f t="shared" si="120"/>
        <v>0</v>
      </c>
      <c r="N171" s="66">
        <f t="shared" si="120"/>
        <v>53.865</v>
      </c>
      <c r="O171" s="66">
        <f t="shared" ref="O171:U171" si="121">O143+O153+O163+O168+O167</f>
        <v>483.793</v>
      </c>
      <c r="P171" s="66">
        <f t="shared" si="121"/>
        <v>602.272</v>
      </c>
      <c r="Q171" s="66">
        <f t="shared" si="121"/>
        <v>685.2902847</v>
      </c>
      <c r="R171" s="66">
        <f t="shared" si="121"/>
        <v>710.0219235</v>
      </c>
      <c r="S171" s="66">
        <f t="shared" si="121"/>
        <v>751.6357115</v>
      </c>
      <c r="T171" s="66">
        <f t="shared" si="121"/>
        <v>801.2078403</v>
      </c>
      <c r="U171" s="66">
        <f t="shared" si="121"/>
        <v>854.2271402</v>
      </c>
      <c r="V171" s="94"/>
      <c r="W171" s="94"/>
      <c r="X171" s="94"/>
      <c r="Y171" s="94"/>
      <c r="Z171" s="94"/>
      <c r="AA171" s="94"/>
      <c r="AB171" s="94"/>
      <c r="AC171" s="94"/>
    </row>
    <row r="172" ht="15.75" customHeight="1">
      <c r="A172" s="299"/>
      <c r="B172" s="300" t="s">
        <v>138</v>
      </c>
      <c r="C172" s="300"/>
      <c r="D172" s="301"/>
      <c r="E172" s="301"/>
      <c r="F172" s="301"/>
      <c r="G172" s="301"/>
      <c r="H172" s="301"/>
      <c r="I172" s="301"/>
      <c r="J172" s="301"/>
      <c r="K172" s="302">
        <f t="shared" ref="K172:U172" si="122">K170+K171</f>
        <v>0</v>
      </c>
      <c r="L172" s="302">
        <f t="shared" si="122"/>
        <v>468.62</v>
      </c>
      <c r="M172" s="302">
        <f t="shared" si="122"/>
        <v>1255.12</v>
      </c>
      <c r="N172" s="302">
        <f t="shared" si="122"/>
        <v>1672.115</v>
      </c>
      <c r="O172" s="302">
        <f t="shared" si="122"/>
        <v>2710.803</v>
      </c>
      <c r="P172" s="302">
        <f t="shared" si="122"/>
        <v>3312.972</v>
      </c>
      <c r="Q172" s="302">
        <f t="shared" si="122"/>
        <v>3998.260285</v>
      </c>
      <c r="R172" s="302">
        <f t="shared" si="122"/>
        <v>4708.282208</v>
      </c>
      <c r="S172" s="302">
        <f t="shared" si="122"/>
        <v>5459.91792</v>
      </c>
      <c r="T172" s="302">
        <f t="shared" si="122"/>
        <v>6261.12576</v>
      </c>
      <c r="U172" s="302">
        <f t="shared" si="122"/>
        <v>7115.3529</v>
      </c>
      <c r="V172" s="94"/>
      <c r="W172" s="94"/>
      <c r="X172" s="94"/>
      <c r="Y172" s="94"/>
      <c r="Z172" s="94"/>
      <c r="AA172" s="94"/>
      <c r="AB172" s="94"/>
      <c r="AC172" s="94"/>
    </row>
    <row r="173" ht="15.75" customHeight="1">
      <c r="A173" s="15"/>
      <c r="B173" s="15"/>
      <c r="C173" s="15"/>
      <c r="D173" s="28"/>
      <c r="E173" s="28"/>
      <c r="F173" s="28"/>
      <c r="G173" s="28"/>
      <c r="H173" s="28"/>
      <c r="I173" s="28"/>
      <c r="J173" s="28"/>
      <c r="K173" s="76"/>
      <c r="L173" s="76"/>
      <c r="M173" s="76"/>
      <c r="N173" s="76"/>
      <c r="O173" s="76"/>
      <c r="P173" s="76"/>
      <c r="Q173" s="76"/>
      <c r="R173" s="76"/>
      <c r="S173" s="76"/>
      <c r="T173" s="76"/>
      <c r="U173" s="76"/>
      <c r="V173" s="10"/>
      <c r="W173" s="10"/>
      <c r="X173" s="10"/>
      <c r="Y173" s="10"/>
      <c r="Z173" s="10"/>
      <c r="AA173" s="10"/>
      <c r="AB173" s="10"/>
      <c r="AC173" s="10"/>
    </row>
    <row r="174" ht="15.75" customHeight="1">
      <c r="A174" s="303"/>
      <c r="B174" s="304" t="s">
        <v>139</v>
      </c>
      <c r="C174" s="304"/>
      <c r="D174" s="305"/>
      <c r="E174" s="305"/>
      <c r="F174" s="305"/>
      <c r="G174" s="305"/>
      <c r="H174" s="305"/>
      <c r="I174" s="305"/>
      <c r="J174" s="305"/>
      <c r="K174" s="306">
        <f>K37+K49+K133+K140+K146+K148+K158</f>
        <v>18.31</v>
      </c>
      <c r="L174" s="306">
        <f>L37+L49+L133+L140+L146+L158</f>
        <v>53.87</v>
      </c>
      <c r="M174" s="306">
        <f>M37+M49+M133+M140+M146+M148</f>
        <v>57.416</v>
      </c>
      <c r="N174" s="306">
        <f t="shared" ref="N174:U174" si="123">N37+N49+N133+N140+N146+N148+N158</f>
        <v>93.81</v>
      </c>
      <c r="O174" s="306">
        <f t="shared" si="123"/>
        <v>57.12</v>
      </c>
      <c r="P174" s="306">
        <f t="shared" si="123"/>
        <v>118.552</v>
      </c>
      <c r="Q174" s="306">
        <f t="shared" si="123"/>
        <v>131.1675462</v>
      </c>
      <c r="R174" s="306">
        <f t="shared" si="123"/>
        <v>137.4647008</v>
      </c>
      <c r="S174" s="306">
        <f t="shared" si="123"/>
        <v>149.0809337</v>
      </c>
      <c r="T174" s="306">
        <f t="shared" si="123"/>
        <v>161.5709603</v>
      </c>
      <c r="U174" s="306">
        <f t="shared" si="123"/>
        <v>175.0017877</v>
      </c>
      <c r="V174" s="137"/>
      <c r="W174" s="137"/>
      <c r="X174" s="137"/>
      <c r="Y174" s="137"/>
      <c r="Z174" s="137"/>
      <c r="AA174" s="137"/>
      <c r="AB174" s="137"/>
      <c r="AC174" s="137"/>
    </row>
    <row r="175" ht="15.75" customHeight="1">
      <c r="A175" s="15"/>
      <c r="B175" s="15" t="s">
        <v>140</v>
      </c>
      <c r="C175" s="15"/>
      <c r="D175" s="28"/>
      <c r="E175" s="28"/>
      <c r="F175" s="28"/>
      <c r="G175" s="28"/>
      <c r="H175" s="28"/>
      <c r="I175" s="28"/>
      <c r="J175" s="28"/>
      <c r="K175" s="29" t="str">
        <f t="shared" ref="K175:U175" si="124">K174/J174-1</f>
        <v>#DIV/0!</v>
      </c>
      <c r="L175" s="29">
        <f t="shared" si="124"/>
        <v>1.942108138</v>
      </c>
      <c r="M175" s="29">
        <f t="shared" si="124"/>
        <v>0.06582513458</v>
      </c>
      <c r="N175" s="29">
        <f t="shared" si="124"/>
        <v>0.6338651247</v>
      </c>
      <c r="O175" s="29">
        <f t="shared" si="124"/>
        <v>-0.3911096898</v>
      </c>
      <c r="P175" s="29">
        <f t="shared" si="124"/>
        <v>1.075490196</v>
      </c>
      <c r="Q175" s="29">
        <f t="shared" si="124"/>
        <v>0.1064136096</v>
      </c>
      <c r="R175" s="29">
        <f t="shared" si="124"/>
        <v>0.04800848004</v>
      </c>
      <c r="S175" s="29">
        <f t="shared" si="124"/>
        <v>0.08450338814</v>
      </c>
      <c r="T175" s="29">
        <f t="shared" si="124"/>
        <v>0.08378017374</v>
      </c>
      <c r="U175" s="29">
        <f t="shared" si="124"/>
        <v>0.08312649387</v>
      </c>
    </row>
    <row r="176" ht="15.75" customHeight="1">
      <c r="A176" s="15"/>
      <c r="B176" s="15" t="s">
        <v>141</v>
      </c>
      <c r="C176" s="15"/>
      <c r="D176" s="28"/>
      <c r="E176" s="28"/>
      <c r="F176" s="28"/>
      <c r="G176" s="28"/>
      <c r="H176" s="28"/>
      <c r="I176" s="28"/>
      <c r="J176" s="28"/>
      <c r="K176" s="307">
        <f t="shared" ref="K176:U176" si="125">K174/K58</f>
        <v>1.205398288</v>
      </c>
      <c r="L176" s="307">
        <f t="shared" si="125"/>
        <v>1.07826261</v>
      </c>
      <c r="M176" s="307">
        <f t="shared" si="125"/>
        <v>1.11323096</v>
      </c>
      <c r="N176" s="307">
        <f t="shared" si="125"/>
        <v>0.8841658812</v>
      </c>
      <c r="O176" s="307">
        <f t="shared" si="125"/>
        <v>0.7935537649</v>
      </c>
      <c r="P176" s="307">
        <f t="shared" si="125"/>
        <v>1.062836754</v>
      </c>
      <c r="Q176" s="307">
        <f t="shared" si="125"/>
        <v>0.8672137081</v>
      </c>
      <c r="R176" s="307">
        <f t="shared" si="125"/>
        <v>0.8681949675</v>
      </c>
      <c r="S176" s="307">
        <f t="shared" si="125"/>
        <v>0.8706027898</v>
      </c>
      <c r="T176" s="307">
        <f t="shared" si="125"/>
        <v>0.872864442</v>
      </c>
      <c r="U176" s="307">
        <f t="shared" si="125"/>
        <v>0.8749915894</v>
      </c>
    </row>
    <row r="177" ht="15.75" customHeight="1">
      <c r="A177" s="15"/>
      <c r="B177" s="15"/>
      <c r="C177" s="15"/>
      <c r="D177" s="28"/>
      <c r="E177" s="28"/>
      <c r="F177" s="28"/>
      <c r="G177" s="28"/>
      <c r="H177" s="28"/>
      <c r="I177" s="28"/>
      <c r="J177" s="28"/>
      <c r="K177" s="16"/>
      <c r="L177" s="16"/>
      <c r="M177" s="16"/>
      <c r="N177" s="16"/>
      <c r="O177" s="16"/>
      <c r="P177" s="308"/>
      <c r="Q177" s="308"/>
      <c r="R177" s="308"/>
      <c r="S177" s="308"/>
      <c r="T177" s="308"/>
      <c r="U177" s="308"/>
    </row>
    <row r="178" ht="15.75" customHeight="1">
      <c r="A178" s="15"/>
      <c r="B178" s="15" t="s">
        <v>142</v>
      </c>
      <c r="C178" s="15"/>
      <c r="D178" s="28"/>
      <c r="E178" s="28"/>
      <c r="F178" s="28"/>
      <c r="G178" s="28"/>
      <c r="H178" s="28"/>
      <c r="I178" s="28"/>
      <c r="J178" s="28"/>
      <c r="K178" s="16"/>
      <c r="L178" s="16"/>
      <c r="M178" s="16"/>
      <c r="N178" s="16"/>
      <c r="O178" s="16"/>
      <c r="P178" s="308">
        <f t="shared" ref="P178:U178" si="126">P58*P179</f>
        <v>94.81155</v>
      </c>
      <c r="Q178" s="308">
        <f t="shared" si="126"/>
        <v>128.5639437</v>
      </c>
      <c r="R178" s="308">
        <f t="shared" si="126"/>
        <v>134.5838205</v>
      </c>
      <c r="S178" s="308">
        <f t="shared" si="126"/>
        <v>145.5529378</v>
      </c>
      <c r="T178" s="308">
        <f t="shared" si="126"/>
        <v>157.3386538</v>
      </c>
      <c r="U178" s="308">
        <f t="shared" si="126"/>
        <v>170.0033707</v>
      </c>
    </row>
    <row r="179" ht="15.75" customHeight="1">
      <c r="A179" s="15"/>
      <c r="B179" s="15" t="s">
        <v>143</v>
      </c>
      <c r="C179" s="15"/>
      <c r="D179" s="28"/>
      <c r="E179" s="28"/>
      <c r="F179" s="28"/>
      <c r="G179" s="28"/>
      <c r="H179" s="28"/>
      <c r="I179" s="28"/>
      <c r="J179" s="28"/>
      <c r="K179" s="16"/>
      <c r="L179" s="16"/>
      <c r="M179" s="16"/>
      <c r="N179" s="16"/>
      <c r="O179" s="309"/>
      <c r="P179" s="145">
        <v>0.85</v>
      </c>
      <c r="Q179" s="145">
        <v>0.85</v>
      </c>
      <c r="R179" s="145">
        <v>0.85</v>
      </c>
      <c r="S179" s="145">
        <v>0.85</v>
      </c>
      <c r="T179" s="145">
        <v>0.85</v>
      </c>
      <c r="U179" s="145">
        <v>0.85</v>
      </c>
    </row>
    <row r="180" ht="15.75" customHeight="1">
      <c r="A180" s="15"/>
      <c r="B180" s="15"/>
      <c r="C180" s="15"/>
      <c r="D180" s="28"/>
      <c r="E180" s="28"/>
      <c r="F180" s="28"/>
      <c r="G180" s="28"/>
      <c r="H180" s="28"/>
      <c r="I180" s="28"/>
      <c r="J180" s="28"/>
      <c r="K180" s="16"/>
      <c r="L180" s="16"/>
      <c r="M180" s="16"/>
      <c r="N180" s="16"/>
      <c r="O180" s="16"/>
      <c r="P180" s="16"/>
      <c r="Q180" s="16"/>
      <c r="R180" s="16"/>
      <c r="S180" s="16"/>
      <c r="T180" s="16"/>
      <c r="U180" s="16"/>
    </row>
    <row r="181" ht="15.75" customHeight="1">
      <c r="A181" s="15"/>
      <c r="B181" s="15"/>
      <c r="C181" s="15"/>
      <c r="D181" s="28"/>
      <c r="E181" s="28"/>
      <c r="F181" s="28"/>
      <c r="G181" s="28"/>
      <c r="H181" s="28"/>
      <c r="I181" s="28"/>
      <c r="J181" s="28"/>
      <c r="K181" s="28"/>
      <c r="L181" s="28"/>
      <c r="M181" s="28"/>
      <c r="N181" s="28"/>
      <c r="O181" s="28"/>
      <c r="P181" s="28"/>
      <c r="Q181" s="28"/>
      <c r="R181" s="28"/>
      <c r="S181" s="28"/>
      <c r="T181" s="28"/>
      <c r="U181" s="28"/>
    </row>
    <row r="182" ht="15.75" customHeight="1">
      <c r="A182" s="15"/>
      <c r="B182" s="15"/>
      <c r="C182" s="15"/>
      <c r="D182" s="28"/>
      <c r="E182" s="28"/>
      <c r="F182" s="28"/>
      <c r="G182" s="28"/>
      <c r="H182" s="28"/>
      <c r="I182" s="28"/>
      <c r="J182" s="28"/>
      <c r="K182" s="28"/>
      <c r="L182" s="28"/>
      <c r="M182" s="28"/>
      <c r="N182" s="28"/>
      <c r="O182" s="28"/>
      <c r="P182" s="28"/>
      <c r="Q182" s="28"/>
      <c r="R182" s="28"/>
      <c r="S182" s="28"/>
      <c r="T182" s="28"/>
      <c r="U182" s="28"/>
    </row>
    <row r="183" ht="2.25" customHeight="1">
      <c r="A183" s="15"/>
      <c r="B183" s="15"/>
      <c r="C183" s="15"/>
      <c r="D183" s="28"/>
      <c r="E183" s="28"/>
      <c r="F183" s="28"/>
      <c r="G183" s="28"/>
      <c r="H183" s="28"/>
      <c r="I183" s="28"/>
      <c r="J183" s="28"/>
      <c r="K183" s="28"/>
      <c r="L183" s="28"/>
      <c r="M183" s="28"/>
      <c r="N183" s="28"/>
      <c r="O183" s="28"/>
      <c r="P183" s="28"/>
      <c r="Q183" s="28"/>
      <c r="R183" s="28"/>
      <c r="S183" s="28"/>
      <c r="T183" s="28"/>
      <c r="U183" s="28"/>
    </row>
    <row r="184" ht="15.75" customHeight="1">
      <c r="A184" s="310"/>
      <c r="B184" s="311" t="s">
        <v>144</v>
      </c>
      <c r="C184" s="142"/>
      <c r="D184" s="143"/>
      <c r="E184" s="143"/>
      <c r="F184" s="143"/>
      <c r="G184" s="143"/>
      <c r="H184" s="143"/>
      <c r="I184" s="143"/>
      <c r="J184" s="143"/>
      <c r="K184" s="143"/>
      <c r="L184" s="143"/>
      <c r="M184" s="143"/>
      <c r="N184" s="143"/>
      <c r="O184" s="143"/>
      <c r="P184" s="143"/>
      <c r="Q184" s="143"/>
      <c r="R184" s="143"/>
      <c r="S184" s="143"/>
      <c r="T184" s="143"/>
      <c r="U184" s="143"/>
    </row>
    <row r="185" ht="15.0" customHeight="1" outlineLevel="1"/>
    <row r="186" ht="15.0" customHeight="1" outlineLevel="1"/>
    <row r="187" ht="15.75" customHeight="1" outlineLevel="1">
      <c r="A187" s="245"/>
      <c r="B187" s="246" t="s">
        <v>145</v>
      </c>
      <c r="C187" s="246"/>
      <c r="D187" s="247"/>
      <c r="E187" s="247"/>
      <c r="F187" s="247"/>
      <c r="G187" s="247"/>
      <c r="H187" s="247"/>
      <c r="I187" s="247"/>
      <c r="J187" s="248"/>
      <c r="K187" s="248"/>
      <c r="L187" s="248">
        <f t="shared" ref="L187:O187" si="127">ABS(L133/L29)</f>
        <v>0</v>
      </c>
      <c r="M187" s="248">
        <f t="shared" si="127"/>
        <v>0</v>
      </c>
      <c r="N187" s="248">
        <f t="shared" si="127"/>
        <v>0.9278125</v>
      </c>
      <c r="O187" s="248">
        <f t="shared" si="127"/>
        <v>0.8894444444</v>
      </c>
      <c r="P187" s="248">
        <f t="shared" ref="P187:U187" si="128">O187</f>
        <v>0.8894444444</v>
      </c>
      <c r="Q187" s="248">
        <f t="shared" si="128"/>
        <v>0.8894444444</v>
      </c>
      <c r="R187" s="248">
        <f t="shared" si="128"/>
        <v>0.8894444444</v>
      </c>
      <c r="S187" s="248">
        <f t="shared" si="128"/>
        <v>0.8894444444</v>
      </c>
      <c r="T187" s="248">
        <f t="shared" si="128"/>
        <v>0.8894444444</v>
      </c>
      <c r="U187" s="248">
        <f t="shared" si="128"/>
        <v>0.8894444444</v>
      </c>
    </row>
    <row r="188" ht="15.75" customHeight="1" outlineLevel="1">
      <c r="A188" s="245"/>
      <c r="B188" s="246" t="s">
        <v>146</v>
      </c>
      <c r="C188" s="246"/>
      <c r="D188" s="247"/>
      <c r="E188" s="247"/>
      <c r="F188" s="247"/>
      <c r="G188" s="247"/>
      <c r="H188" s="247"/>
      <c r="I188" s="247"/>
      <c r="J188" s="312"/>
      <c r="K188" s="312"/>
      <c r="L188" s="250">
        <f t="shared" ref="L188:O188" si="129">ABS(L134/L29)</f>
        <v>0</v>
      </c>
      <c r="M188" s="250">
        <f t="shared" si="129"/>
        <v>0</v>
      </c>
      <c r="N188" s="250">
        <f t="shared" si="129"/>
        <v>0</v>
      </c>
      <c r="O188" s="250">
        <f t="shared" si="129"/>
        <v>0</v>
      </c>
      <c r="P188" s="250">
        <f t="shared" ref="P188:U188" si="130">O188</f>
        <v>0</v>
      </c>
      <c r="Q188" s="250">
        <f t="shared" si="130"/>
        <v>0</v>
      </c>
      <c r="R188" s="250">
        <f t="shared" si="130"/>
        <v>0</v>
      </c>
      <c r="S188" s="250">
        <f t="shared" si="130"/>
        <v>0</v>
      </c>
      <c r="T188" s="250">
        <f t="shared" si="130"/>
        <v>0</v>
      </c>
      <c r="U188" s="250">
        <f t="shared" si="130"/>
        <v>0</v>
      </c>
    </row>
    <row r="189" ht="15.75" customHeight="1" outlineLevel="1">
      <c r="A189" s="245"/>
      <c r="B189" s="246" t="s">
        <v>147</v>
      </c>
      <c r="C189" s="246"/>
      <c r="D189" s="247"/>
      <c r="E189" s="247"/>
      <c r="F189" s="247"/>
      <c r="G189" s="247"/>
      <c r="H189" s="247"/>
      <c r="I189" s="247"/>
      <c r="J189" s="312"/>
      <c r="K189" s="250">
        <f t="shared" ref="K189:O189" si="131">K139/K7</f>
        <v>0</v>
      </c>
      <c r="L189" s="250">
        <f t="shared" si="131"/>
        <v>0</v>
      </c>
      <c r="M189" s="250">
        <f t="shared" si="131"/>
        <v>0</v>
      </c>
      <c r="N189" s="250">
        <f t="shared" si="131"/>
        <v>0</v>
      </c>
      <c r="O189" s="250">
        <f t="shared" si="131"/>
        <v>0</v>
      </c>
      <c r="P189" s="250">
        <v>0.0</v>
      </c>
      <c r="Q189" s="250">
        <v>0.0</v>
      </c>
      <c r="R189" s="250">
        <v>0.0</v>
      </c>
      <c r="S189" s="250">
        <v>0.0</v>
      </c>
      <c r="T189" s="250">
        <v>0.0</v>
      </c>
      <c r="U189" s="250">
        <v>0.0</v>
      </c>
    </row>
    <row r="190" ht="15.75" customHeight="1" outlineLevel="1">
      <c r="A190" s="245"/>
      <c r="B190" s="313" t="s">
        <v>148</v>
      </c>
      <c r="C190" s="313"/>
      <c r="D190" s="314"/>
      <c r="E190" s="314"/>
      <c r="F190" s="314"/>
      <c r="G190" s="314"/>
      <c r="H190" s="314"/>
      <c r="I190" s="314"/>
      <c r="J190" s="315"/>
      <c r="K190" s="316"/>
      <c r="L190" s="316"/>
      <c r="M190" s="316"/>
      <c r="N190" s="316">
        <f t="shared" ref="N190:O190" si="132">N140/N7</f>
        <v>-0.008740024971</v>
      </c>
      <c r="O190" s="316">
        <f t="shared" si="132"/>
        <v>-0.02464617511</v>
      </c>
      <c r="P190" s="316">
        <v>-0.0246</v>
      </c>
      <c r="Q190" s="316">
        <v>-0.0246</v>
      </c>
      <c r="R190" s="316">
        <v>-0.0246</v>
      </c>
      <c r="S190" s="316">
        <v>-0.0246</v>
      </c>
      <c r="T190" s="316">
        <v>-0.0246</v>
      </c>
      <c r="U190" s="316">
        <v>-0.0246</v>
      </c>
    </row>
    <row r="191" ht="15.75" customHeight="1" outlineLevel="1">
      <c r="A191" s="245"/>
      <c r="B191" s="313" t="s">
        <v>149</v>
      </c>
      <c r="C191" s="313"/>
      <c r="D191" s="314"/>
      <c r="E191" s="314"/>
      <c r="F191" s="314"/>
      <c r="G191" s="314"/>
      <c r="H191" s="314"/>
      <c r="I191" s="314"/>
      <c r="J191" s="317"/>
      <c r="K191" s="317">
        <f t="shared" ref="K191:M191" si="133">K137/K7</f>
        <v>0</v>
      </c>
      <c r="L191" s="317">
        <f t="shared" si="133"/>
        <v>0</v>
      </c>
      <c r="M191" s="317">
        <f t="shared" si="133"/>
        <v>0</v>
      </c>
      <c r="N191" s="317">
        <f t="shared" ref="N191:O191" si="134">N142/P7</f>
        <v>-0.08007999667</v>
      </c>
      <c r="O191" s="317">
        <f t="shared" si="134"/>
        <v>-0.04971056373</v>
      </c>
      <c r="P191" s="317">
        <v>0.0</v>
      </c>
      <c r="Q191" s="317">
        <v>0.0</v>
      </c>
      <c r="R191" s="317">
        <v>0.0</v>
      </c>
      <c r="S191" s="317">
        <v>0.0</v>
      </c>
      <c r="T191" s="317">
        <v>0.0</v>
      </c>
      <c r="U191" s="317">
        <v>0.0</v>
      </c>
    </row>
    <row r="192" ht="15.75" customHeight="1" outlineLevel="1">
      <c r="A192" s="245"/>
      <c r="B192" s="318" t="s">
        <v>150</v>
      </c>
      <c r="C192" s="318"/>
      <c r="D192" s="319"/>
      <c r="E192" s="319"/>
      <c r="F192" s="319"/>
      <c r="G192" s="319"/>
      <c r="H192" s="319"/>
      <c r="I192" s="319"/>
      <c r="J192" s="320"/>
      <c r="K192" s="320">
        <f t="shared" ref="K192:O192" si="135">K146/K7</f>
        <v>0</v>
      </c>
      <c r="L192" s="320">
        <f t="shared" si="135"/>
        <v>0</v>
      </c>
      <c r="M192" s="320">
        <f t="shared" si="135"/>
        <v>0</v>
      </c>
      <c r="N192" s="320">
        <f t="shared" si="135"/>
        <v>-0.02592150263</v>
      </c>
      <c r="O192" s="320">
        <f t="shared" si="135"/>
        <v>-0.01602129348</v>
      </c>
      <c r="P192" s="320">
        <v>-0.017</v>
      </c>
      <c r="Q192" s="320">
        <v>-0.017</v>
      </c>
      <c r="R192" s="320">
        <v>-0.017</v>
      </c>
      <c r="S192" s="320">
        <v>-0.017</v>
      </c>
      <c r="T192" s="320">
        <v>-0.017</v>
      </c>
      <c r="U192" s="320">
        <v>-0.017</v>
      </c>
    </row>
    <row r="193" ht="15.75" customHeight="1" outlineLevel="1">
      <c r="A193" s="245"/>
      <c r="B193" s="245" t="s">
        <v>151</v>
      </c>
      <c r="C193" s="245"/>
      <c r="D193" s="321"/>
      <c r="E193" s="321"/>
      <c r="F193" s="321"/>
      <c r="G193" s="321"/>
      <c r="H193" s="321"/>
      <c r="I193" s="321"/>
      <c r="J193" s="322"/>
      <c r="K193" s="322">
        <f t="shared" ref="K193:O193" si="136">K148/K7</f>
        <v>0</v>
      </c>
      <c r="L193" s="322">
        <f t="shared" si="136"/>
        <v>0</v>
      </c>
      <c r="M193" s="322">
        <f t="shared" si="136"/>
        <v>0</v>
      </c>
      <c r="N193" s="322">
        <f t="shared" si="136"/>
        <v>-0.09008740025</v>
      </c>
      <c r="O193" s="322">
        <f t="shared" si="136"/>
        <v>-0.08271696568</v>
      </c>
      <c r="P193" s="322">
        <f t="shared" ref="P193:U193" si="137">O193</f>
        <v>-0.08271696568</v>
      </c>
      <c r="Q193" s="322">
        <f t="shared" si="137"/>
        <v>-0.08271696568</v>
      </c>
      <c r="R193" s="322">
        <f t="shared" si="137"/>
        <v>-0.08271696568</v>
      </c>
      <c r="S193" s="322">
        <f t="shared" si="137"/>
        <v>-0.08271696568</v>
      </c>
      <c r="T193" s="322">
        <f t="shared" si="137"/>
        <v>-0.08271696568</v>
      </c>
      <c r="U193" s="322">
        <f t="shared" si="137"/>
        <v>-0.08271696568</v>
      </c>
    </row>
    <row r="194" ht="15.75" customHeight="1" outlineLevel="1">
      <c r="A194" s="245"/>
      <c r="B194" s="323" t="s">
        <v>152</v>
      </c>
      <c r="C194" s="323"/>
      <c r="D194" s="324"/>
      <c r="E194" s="324"/>
      <c r="F194" s="324"/>
      <c r="G194" s="324"/>
      <c r="H194" s="324"/>
      <c r="I194" s="324"/>
      <c r="J194" s="325"/>
      <c r="K194" s="325" t="str">
        <f t="shared" ref="K194:O194" si="138">K151/K143</f>
        <v>#DIV/0!</v>
      </c>
      <c r="L194" s="325" t="str">
        <f t="shared" si="138"/>
        <v>#DIV/0!</v>
      </c>
      <c r="M194" s="325" t="str">
        <f t="shared" si="138"/>
        <v>#DIV/0!</v>
      </c>
      <c r="N194" s="325">
        <f t="shared" si="138"/>
        <v>0</v>
      </c>
      <c r="O194" s="325">
        <f t="shared" si="138"/>
        <v>0</v>
      </c>
      <c r="P194" s="325"/>
      <c r="Q194" s="325"/>
      <c r="R194" s="325"/>
      <c r="S194" s="325"/>
      <c r="T194" s="325"/>
      <c r="U194" s="325"/>
    </row>
    <row r="195" ht="15.75" customHeight="1" outlineLevel="1">
      <c r="A195" s="245"/>
      <c r="B195" s="323" t="s">
        <v>153</v>
      </c>
      <c r="C195" s="323"/>
      <c r="D195" s="324"/>
      <c r="E195" s="324"/>
      <c r="F195" s="324"/>
      <c r="G195" s="324"/>
      <c r="H195" s="324"/>
      <c r="I195" s="324"/>
      <c r="J195" s="325"/>
      <c r="K195" s="325" t="str">
        <f t="shared" ref="K195:O195" si="139">K152/K143</f>
        <v>#DIV/0!</v>
      </c>
      <c r="L195" s="325" t="str">
        <f t="shared" si="139"/>
        <v>#DIV/0!</v>
      </c>
      <c r="M195" s="325" t="str">
        <f t="shared" si="139"/>
        <v>#DIV/0!</v>
      </c>
      <c r="N195" s="325">
        <f t="shared" si="139"/>
        <v>0</v>
      </c>
      <c r="O195" s="325">
        <f t="shared" si="139"/>
        <v>-0.003165558721</v>
      </c>
      <c r="P195" s="325">
        <v>-0.008</v>
      </c>
      <c r="Q195" s="325">
        <v>-0.008</v>
      </c>
      <c r="R195" s="325">
        <v>-0.008</v>
      </c>
      <c r="S195" s="325">
        <v>-0.008</v>
      </c>
      <c r="T195" s="325">
        <v>-0.008</v>
      </c>
      <c r="U195" s="325">
        <v>-0.008</v>
      </c>
    </row>
    <row r="196" ht="15.75" customHeight="1" outlineLevel="1">
      <c r="A196" s="245"/>
      <c r="B196" s="313" t="s">
        <v>154</v>
      </c>
      <c r="C196" s="313"/>
      <c r="D196" s="314"/>
      <c r="E196" s="314"/>
      <c r="F196" s="314"/>
      <c r="G196" s="314"/>
      <c r="H196" s="314"/>
      <c r="I196" s="314"/>
      <c r="J196" s="317"/>
      <c r="K196" s="317">
        <f t="shared" ref="K196:O196" si="140">K147/K7</f>
        <v>0</v>
      </c>
      <c r="L196" s="317">
        <f t="shared" si="140"/>
        <v>0</v>
      </c>
      <c r="M196" s="317">
        <f t="shared" si="140"/>
        <v>0</v>
      </c>
      <c r="N196" s="317">
        <f t="shared" si="140"/>
        <v>-0.01809076597</v>
      </c>
      <c r="O196" s="317">
        <f t="shared" si="140"/>
        <v>-0.01881094362</v>
      </c>
      <c r="P196" s="317">
        <f t="shared" ref="P196:U196" si="141">O196</f>
        <v>-0.01881094362</v>
      </c>
      <c r="Q196" s="317">
        <f t="shared" si="141"/>
        <v>-0.01881094362</v>
      </c>
      <c r="R196" s="317">
        <f t="shared" si="141"/>
        <v>-0.01881094362</v>
      </c>
      <c r="S196" s="317">
        <f t="shared" si="141"/>
        <v>-0.01881094362</v>
      </c>
      <c r="T196" s="317">
        <f t="shared" si="141"/>
        <v>-0.01881094362</v>
      </c>
      <c r="U196" s="317">
        <f t="shared" si="141"/>
        <v>-0.01881094362</v>
      </c>
    </row>
    <row r="197" ht="15.75" customHeight="1" outlineLevel="1">
      <c r="A197" s="245"/>
      <c r="B197" s="326" t="s">
        <v>155</v>
      </c>
      <c r="C197" s="326"/>
      <c r="D197" s="327"/>
      <c r="E197" s="327"/>
      <c r="F197" s="327"/>
      <c r="G197" s="327"/>
      <c r="H197" s="327"/>
      <c r="I197" s="327"/>
      <c r="J197" s="328"/>
      <c r="K197" s="328">
        <v>-0.22</v>
      </c>
      <c r="L197" s="328">
        <f t="shared" ref="L197:O197" si="142">L157/K174</f>
        <v>0</v>
      </c>
      <c r="M197" s="328">
        <f t="shared" si="142"/>
        <v>0</v>
      </c>
      <c r="N197" s="328">
        <f t="shared" si="142"/>
        <v>0</v>
      </c>
      <c r="O197" s="328">
        <f t="shared" si="142"/>
        <v>0</v>
      </c>
      <c r="P197" s="328">
        <v>-0.22</v>
      </c>
      <c r="Q197" s="329">
        <v>-0.22</v>
      </c>
      <c r="R197" s="329">
        <v>-0.22</v>
      </c>
      <c r="S197" s="329">
        <v>-0.22</v>
      </c>
      <c r="T197" s="329">
        <v>-0.22</v>
      </c>
      <c r="U197" s="329">
        <v>-0.22</v>
      </c>
    </row>
    <row r="198" ht="15.75" customHeight="1" outlineLevel="1">
      <c r="A198" s="245"/>
      <c r="B198" s="246" t="s">
        <v>156</v>
      </c>
      <c r="C198" s="246"/>
      <c r="D198" s="247"/>
      <c r="E198" s="247"/>
      <c r="F198" s="247"/>
      <c r="G198" s="247"/>
      <c r="H198" s="247"/>
      <c r="I198" s="247"/>
      <c r="J198" s="248"/>
      <c r="K198" s="248">
        <f t="shared" ref="K198:O198" si="143">K158/K7</f>
        <v>0</v>
      </c>
      <c r="L198" s="248">
        <f t="shared" si="143"/>
        <v>0</v>
      </c>
      <c r="M198" s="248">
        <f t="shared" si="143"/>
        <v>0</v>
      </c>
      <c r="N198" s="248">
        <f t="shared" si="143"/>
        <v>0</v>
      </c>
      <c r="O198" s="248">
        <f t="shared" si="143"/>
        <v>0</v>
      </c>
      <c r="P198" s="248">
        <v>-0.08</v>
      </c>
      <c r="Q198" s="248">
        <v>-0.078</v>
      </c>
      <c r="R198" s="248">
        <v>-0.078</v>
      </c>
      <c r="S198" s="248">
        <v>-0.078</v>
      </c>
      <c r="T198" s="248">
        <v>-0.078</v>
      </c>
      <c r="U198" s="248">
        <v>-0.078</v>
      </c>
      <c r="V198" s="255"/>
    </row>
    <row r="199" ht="15.75" customHeight="1" outlineLevel="1">
      <c r="A199" s="245"/>
      <c r="B199" s="246" t="s">
        <v>157</v>
      </c>
      <c r="C199" s="246"/>
      <c r="D199" s="247"/>
      <c r="E199" s="247"/>
      <c r="F199" s="247"/>
      <c r="G199" s="247"/>
      <c r="H199" s="247"/>
      <c r="I199" s="247"/>
      <c r="J199" s="248"/>
      <c r="K199" s="248" t="str">
        <f t="shared" ref="K199:N199" si="144">K160/K132</f>
        <v>#DIV/0!</v>
      </c>
      <c r="L199" s="248" t="str">
        <f t="shared" si="144"/>
        <v>#DIV/0!</v>
      </c>
      <c r="M199" s="248" t="str">
        <f t="shared" si="144"/>
        <v>#DIV/0!</v>
      </c>
      <c r="N199" s="248">
        <f t="shared" si="144"/>
        <v>0.04175306315</v>
      </c>
      <c r="O199" s="312">
        <v>0.0</v>
      </c>
      <c r="P199" s="312">
        <v>0.0</v>
      </c>
      <c r="Q199" s="312">
        <v>0.0</v>
      </c>
      <c r="R199" s="312">
        <v>0.0</v>
      </c>
      <c r="S199" s="312">
        <v>0.0</v>
      </c>
      <c r="T199" s="312">
        <v>0.0</v>
      </c>
      <c r="U199" s="312">
        <v>0.0</v>
      </c>
    </row>
    <row r="200" ht="15.75" customHeight="1" outlineLevel="1">
      <c r="A200" s="245"/>
      <c r="B200" s="246" t="s">
        <v>158</v>
      </c>
      <c r="C200" s="246"/>
      <c r="D200" s="247"/>
      <c r="E200" s="247"/>
      <c r="F200" s="247"/>
      <c r="G200" s="247"/>
      <c r="H200" s="247"/>
      <c r="I200" s="247"/>
      <c r="J200" s="248"/>
      <c r="K200" s="248">
        <f t="shared" ref="K200:O200" si="145">K161/K41</f>
        <v>0</v>
      </c>
      <c r="L200" s="248">
        <f t="shared" si="145"/>
        <v>0</v>
      </c>
      <c r="M200" s="248">
        <f t="shared" si="145"/>
        <v>0</v>
      </c>
      <c r="N200" s="248">
        <f t="shared" si="145"/>
        <v>0</v>
      </c>
      <c r="O200" s="248">
        <f t="shared" si="145"/>
        <v>0</v>
      </c>
      <c r="P200" s="248">
        <f t="shared" ref="P200:U200" si="146">O200</f>
        <v>0</v>
      </c>
      <c r="Q200" s="248">
        <f t="shared" si="146"/>
        <v>0</v>
      </c>
      <c r="R200" s="248">
        <f t="shared" si="146"/>
        <v>0</v>
      </c>
      <c r="S200" s="248">
        <f t="shared" si="146"/>
        <v>0</v>
      </c>
      <c r="T200" s="248">
        <f t="shared" si="146"/>
        <v>0</v>
      </c>
      <c r="U200" s="248">
        <f t="shared" si="146"/>
        <v>0</v>
      </c>
    </row>
    <row r="201" ht="15.75" customHeight="1" outlineLevel="1">
      <c r="A201" s="245"/>
      <c r="B201" s="246" t="s">
        <v>159</v>
      </c>
      <c r="C201" s="246"/>
      <c r="D201" s="247"/>
      <c r="E201" s="247"/>
      <c r="F201" s="247"/>
      <c r="G201" s="247"/>
      <c r="H201" s="247"/>
      <c r="I201" s="247"/>
      <c r="J201" s="248"/>
      <c r="K201" s="248">
        <f t="shared" ref="K201:O201" si="147">K152/K7</f>
        <v>0</v>
      </c>
      <c r="L201" s="248">
        <f t="shared" si="147"/>
        <v>0</v>
      </c>
      <c r="M201" s="248">
        <f t="shared" si="147"/>
        <v>0</v>
      </c>
      <c r="N201" s="248">
        <f t="shared" si="147"/>
        <v>0</v>
      </c>
      <c r="O201" s="248">
        <f t="shared" si="147"/>
        <v>-0.0005118624114</v>
      </c>
      <c r="P201" s="248">
        <f t="shared" ref="P201:U201" si="148">O201</f>
        <v>-0.0005118624114</v>
      </c>
      <c r="Q201" s="248">
        <f t="shared" si="148"/>
        <v>-0.0005118624114</v>
      </c>
      <c r="R201" s="248">
        <f t="shared" si="148"/>
        <v>-0.0005118624114</v>
      </c>
      <c r="S201" s="248">
        <f t="shared" si="148"/>
        <v>-0.0005118624114</v>
      </c>
      <c r="T201" s="248">
        <f t="shared" si="148"/>
        <v>-0.0005118624114</v>
      </c>
      <c r="U201" s="248">
        <f t="shared" si="148"/>
        <v>-0.0005118624114</v>
      </c>
    </row>
    <row r="202" ht="15.75" customHeight="1" outlineLevel="1">
      <c r="A202" s="245"/>
      <c r="B202" s="313"/>
      <c r="C202" s="313"/>
      <c r="D202" s="314"/>
      <c r="E202" s="314"/>
      <c r="F202" s="314"/>
      <c r="G202" s="314"/>
      <c r="H202" s="314"/>
      <c r="I202" s="314"/>
      <c r="J202" s="317"/>
      <c r="K202" s="317"/>
      <c r="L202" s="317"/>
      <c r="M202" s="317"/>
      <c r="N202" s="317"/>
      <c r="O202" s="315"/>
      <c r="P202" s="315"/>
      <c r="Q202" s="315"/>
      <c r="R202" s="315"/>
      <c r="S202" s="315"/>
      <c r="T202" s="315"/>
      <c r="U202" s="315"/>
    </row>
    <row r="203" ht="15.75" customHeight="1" outlineLevel="1">
      <c r="A203" s="245"/>
      <c r="B203" s="326" t="s">
        <v>160</v>
      </c>
      <c r="C203" s="326"/>
      <c r="D203" s="327"/>
      <c r="E203" s="327"/>
      <c r="F203" s="327"/>
      <c r="G203" s="327"/>
      <c r="H203" s="327"/>
      <c r="I203" s="327"/>
      <c r="J203" s="328"/>
      <c r="K203" s="328">
        <f t="shared" ref="K203:O203" si="149">K168/K7</f>
        <v>0</v>
      </c>
      <c r="L203" s="328">
        <f t="shared" si="149"/>
        <v>0</v>
      </c>
      <c r="M203" s="328">
        <f t="shared" si="149"/>
        <v>0</v>
      </c>
      <c r="N203" s="328">
        <f t="shared" si="149"/>
        <v>0</v>
      </c>
      <c r="O203" s="328">
        <f t="shared" si="149"/>
        <v>-0.01798428582</v>
      </c>
      <c r="P203" s="328">
        <v>-0.003</v>
      </c>
      <c r="Q203" s="328">
        <v>-0.003</v>
      </c>
      <c r="R203" s="328">
        <v>-0.003</v>
      </c>
      <c r="S203" s="328">
        <v>-0.003</v>
      </c>
      <c r="T203" s="328">
        <v>-0.003</v>
      </c>
      <c r="U203" s="328">
        <v>-0.003</v>
      </c>
    </row>
    <row r="204" ht="15.75" customHeight="1" outlineLevel="1">
      <c r="A204" s="245"/>
      <c r="B204" s="246"/>
      <c r="C204" s="246"/>
      <c r="D204" s="247"/>
      <c r="E204" s="247"/>
      <c r="F204" s="247"/>
      <c r="G204" s="247"/>
      <c r="H204" s="247"/>
      <c r="I204" s="247"/>
      <c r="J204" s="248"/>
      <c r="K204" s="248"/>
      <c r="L204" s="248"/>
      <c r="M204" s="248"/>
      <c r="N204" s="248"/>
      <c r="O204" s="312"/>
      <c r="P204" s="312"/>
      <c r="Q204" s="312"/>
      <c r="R204" s="312"/>
      <c r="S204" s="312"/>
      <c r="T204" s="312"/>
      <c r="U204" s="312"/>
    </row>
    <row r="205" ht="15.75" customHeight="1" outlineLevel="1">
      <c r="A205" s="245"/>
      <c r="B205" s="246" t="s">
        <v>161</v>
      </c>
      <c r="C205" s="246"/>
      <c r="D205" s="247"/>
      <c r="E205" s="247"/>
      <c r="F205" s="247"/>
      <c r="G205" s="247"/>
      <c r="H205" s="247"/>
      <c r="I205" s="247"/>
      <c r="J205" s="248"/>
      <c r="K205" s="248">
        <f t="shared" ref="K205:P205" si="150">K167/K7</f>
        <v>0</v>
      </c>
      <c r="L205" s="248">
        <f t="shared" si="150"/>
        <v>0</v>
      </c>
      <c r="M205" s="248">
        <f t="shared" si="150"/>
        <v>0</v>
      </c>
      <c r="N205" s="248">
        <f t="shared" si="150"/>
        <v>1.499429998</v>
      </c>
      <c r="O205" s="248">
        <f t="shared" si="150"/>
        <v>1.213523405</v>
      </c>
      <c r="P205" s="248">
        <f t="shared" si="150"/>
        <v>1.06529103</v>
      </c>
      <c r="Q205" s="248">
        <f t="shared" ref="Q205:U205" si="151">P205</f>
        <v>1.06529103</v>
      </c>
      <c r="R205" s="248">
        <f t="shared" si="151"/>
        <v>1.06529103</v>
      </c>
      <c r="S205" s="248">
        <f t="shared" si="151"/>
        <v>1.06529103</v>
      </c>
      <c r="T205" s="248">
        <f t="shared" si="151"/>
        <v>1.06529103</v>
      </c>
      <c r="U205" s="248">
        <f t="shared" si="151"/>
        <v>1.06529103</v>
      </c>
    </row>
    <row r="206" ht="15.75" customHeight="1">
      <c r="A206" s="330"/>
      <c r="B206" s="331" t="s">
        <v>162</v>
      </c>
      <c r="C206" s="14"/>
      <c r="D206" s="14"/>
      <c r="E206" s="14"/>
      <c r="F206" s="14"/>
      <c r="G206" s="14"/>
      <c r="H206" s="14"/>
      <c r="I206" s="14"/>
      <c r="J206" s="14"/>
      <c r="K206" s="14"/>
      <c r="L206" s="14"/>
      <c r="M206" s="14"/>
      <c r="N206" s="14"/>
      <c r="O206" s="14"/>
      <c r="P206" s="14"/>
      <c r="Q206" s="14"/>
      <c r="R206" s="14"/>
      <c r="S206" s="14"/>
      <c r="T206" s="330"/>
      <c r="U206" s="330"/>
    </row>
    <row r="207" ht="15.75" customHeight="1">
      <c r="A207" s="15"/>
      <c r="B207" s="15"/>
      <c r="C207" s="15"/>
      <c r="D207" s="28"/>
      <c r="E207" s="28"/>
      <c r="F207" s="28"/>
      <c r="G207" s="28"/>
      <c r="H207" s="28"/>
      <c r="I207" s="28"/>
      <c r="J207" s="28"/>
      <c r="K207" s="28"/>
      <c r="L207" s="28"/>
      <c r="M207" s="28"/>
      <c r="N207" s="28"/>
      <c r="O207" s="28"/>
      <c r="P207" s="28"/>
      <c r="Q207" s="28"/>
      <c r="R207" s="28"/>
      <c r="S207" s="28"/>
      <c r="T207" s="28"/>
      <c r="U207" s="28"/>
    </row>
    <row r="208" ht="15.75" customHeight="1">
      <c r="A208" s="332"/>
      <c r="C208" s="333" t="s">
        <v>163</v>
      </c>
      <c r="D208" s="334"/>
      <c r="E208" s="334"/>
      <c r="F208" s="334"/>
      <c r="G208" s="334"/>
      <c r="H208" s="334"/>
      <c r="I208" s="334"/>
      <c r="J208" s="335"/>
      <c r="K208" s="28"/>
      <c r="L208" s="336" t="s">
        <v>164</v>
      </c>
      <c r="M208" s="14"/>
      <c r="N208" s="14"/>
      <c r="O208" s="14"/>
      <c r="P208" s="14"/>
      <c r="Q208" s="14"/>
      <c r="R208" s="14"/>
      <c r="S208" s="14"/>
      <c r="T208" s="337"/>
      <c r="U208" s="337"/>
    </row>
    <row r="209" ht="15.75" customHeight="1">
      <c r="A209" s="15"/>
      <c r="B209" s="15"/>
      <c r="C209" s="338" t="s">
        <v>165</v>
      </c>
      <c r="D209" s="28"/>
      <c r="E209" s="28"/>
      <c r="F209" s="28"/>
      <c r="G209" s="28"/>
      <c r="H209" s="28"/>
      <c r="I209" s="28"/>
      <c r="J209" s="339">
        <f>J216/U64</f>
        <v>15.79123197</v>
      </c>
      <c r="K209" s="28"/>
      <c r="L209" s="28"/>
      <c r="M209" s="28"/>
      <c r="N209" s="28"/>
      <c r="O209" s="28"/>
      <c r="P209" s="28"/>
      <c r="Q209" s="28"/>
      <c r="R209" s="28"/>
      <c r="S209" s="28"/>
      <c r="T209" s="28"/>
      <c r="U209" s="28"/>
    </row>
    <row r="210" ht="15.75" customHeight="1">
      <c r="A210" s="15"/>
      <c r="B210" s="15"/>
      <c r="C210" s="338" t="s">
        <v>166</v>
      </c>
      <c r="D210" s="28"/>
      <c r="E210" s="28"/>
      <c r="F210" s="28"/>
      <c r="G210" s="28"/>
      <c r="H210" s="28"/>
      <c r="I210" s="28"/>
      <c r="J210" s="340">
        <v>29.0</v>
      </c>
      <c r="K210" s="28"/>
      <c r="L210" s="28"/>
      <c r="M210" s="28"/>
      <c r="N210" s="28"/>
      <c r="O210" s="28"/>
      <c r="P210" s="28"/>
      <c r="Q210" s="28"/>
      <c r="R210" s="28"/>
      <c r="S210" s="28"/>
      <c r="T210" s="28"/>
      <c r="U210" s="28"/>
    </row>
    <row r="211" ht="15.75" customHeight="1">
      <c r="A211" s="15"/>
      <c r="B211" s="15"/>
      <c r="C211" s="338" t="s">
        <v>167</v>
      </c>
      <c r="D211" s="28"/>
      <c r="E211" s="28"/>
      <c r="F211" s="28"/>
      <c r="G211" s="28"/>
      <c r="H211" s="28"/>
      <c r="I211" s="28"/>
      <c r="J211" s="340">
        <v>12.66</v>
      </c>
      <c r="K211" s="28"/>
      <c r="L211" s="28"/>
      <c r="M211" s="28"/>
      <c r="N211" s="28"/>
      <c r="O211" s="28"/>
      <c r="P211" s="28"/>
      <c r="Q211" s="28"/>
      <c r="R211" s="28"/>
      <c r="S211" s="28"/>
      <c r="T211" s="28"/>
      <c r="U211" s="28"/>
    </row>
    <row r="212" ht="15.75" customHeight="1">
      <c r="A212" s="15"/>
      <c r="B212" s="15"/>
      <c r="C212" s="338" t="s">
        <v>168</v>
      </c>
      <c r="D212" s="28"/>
      <c r="E212" s="28"/>
      <c r="F212" s="28"/>
      <c r="G212" s="28"/>
      <c r="H212" s="28"/>
      <c r="I212" s="28"/>
      <c r="J212" s="341">
        <v>15.0</v>
      </c>
      <c r="K212" s="28"/>
      <c r="L212" s="28"/>
      <c r="M212" s="28"/>
      <c r="N212" s="28"/>
      <c r="O212" s="28"/>
      <c r="P212" s="28"/>
      <c r="Q212" s="28"/>
      <c r="R212" s="28"/>
      <c r="S212" s="28"/>
      <c r="T212" s="28"/>
      <c r="U212" s="28"/>
    </row>
    <row r="213" ht="15.75" customHeight="1">
      <c r="A213" s="15"/>
      <c r="B213" s="15"/>
      <c r="C213" s="338"/>
      <c r="D213" s="28"/>
      <c r="E213" s="28"/>
      <c r="F213" s="28"/>
      <c r="G213" s="28"/>
      <c r="H213" s="28"/>
      <c r="I213" s="28"/>
      <c r="J213" s="340"/>
      <c r="K213" s="28"/>
      <c r="L213" s="28"/>
      <c r="M213" s="28"/>
      <c r="N213" s="28"/>
      <c r="O213" s="28"/>
      <c r="P213" s="28"/>
      <c r="Q213" s="28"/>
      <c r="R213" s="28"/>
      <c r="S213" s="28"/>
      <c r="T213" s="28"/>
      <c r="U213" s="28"/>
    </row>
    <row r="214" ht="15.75" customHeight="1">
      <c r="A214" s="15"/>
      <c r="B214" s="15"/>
      <c r="C214" s="342" t="s">
        <v>169</v>
      </c>
      <c r="D214" s="28"/>
      <c r="E214" s="28"/>
      <c r="F214" s="28"/>
      <c r="G214" s="28"/>
      <c r="H214" s="28"/>
      <c r="I214" s="28"/>
      <c r="J214" s="343"/>
      <c r="K214" s="28"/>
      <c r="L214" s="28"/>
      <c r="M214" s="28"/>
      <c r="N214" s="28"/>
      <c r="O214" s="28"/>
      <c r="P214" s="28"/>
      <c r="Q214" s="28"/>
      <c r="R214" s="28"/>
      <c r="S214" s="28"/>
      <c r="T214" s="28"/>
      <c r="U214" s="28"/>
    </row>
    <row r="215" ht="15.75" customHeight="1">
      <c r="A215" s="15"/>
      <c r="B215" s="15"/>
      <c r="C215" s="338" t="s">
        <v>170</v>
      </c>
      <c r="D215" s="28"/>
      <c r="E215" s="28"/>
      <c r="F215" s="28"/>
      <c r="G215" s="28"/>
      <c r="H215" s="28"/>
      <c r="I215" s="28"/>
      <c r="J215" s="344">
        <v>32.0</v>
      </c>
      <c r="K215" s="28"/>
      <c r="L215" s="28"/>
      <c r="M215" s="28"/>
      <c r="N215" s="28"/>
      <c r="O215" s="28"/>
      <c r="P215" s="28"/>
      <c r="Q215" s="28"/>
      <c r="R215" s="28"/>
      <c r="S215" s="28"/>
      <c r="T215" s="28"/>
      <c r="U215" s="28"/>
    </row>
    <row r="216" ht="15.75" customHeight="1">
      <c r="A216" s="72"/>
      <c r="B216" s="72"/>
      <c r="C216" s="345" t="s">
        <v>171</v>
      </c>
      <c r="D216" s="346"/>
      <c r="E216" s="346"/>
      <c r="F216" s="346"/>
      <c r="G216" s="346"/>
      <c r="H216" s="346"/>
      <c r="I216" s="346"/>
      <c r="J216" s="347">
        <f>R240</f>
        <v>28.7511062</v>
      </c>
      <c r="K216" s="73"/>
      <c r="L216" s="73"/>
      <c r="M216" s="73"/>
      <c r="N216" s="73"/>
      <c r="O216" s="73"/>
      <c r="P216" s="73"/>
      <c r="Q216" s="73"/>
      <c r="R216" s="73"/>
      <c r="S216" s="73"/>
      <c r="T216" s="73"/>
      <c r="U216" s="73"/>
    </row>
    <row r="217" ht="15.75" customHeight="1">
      <c r="A217" s="15"/>
      <c r="B217" s="15"/>
      <c r="C217" s="348" t="s">
        <v>172</v>
      </c>
      <c r="D217" s="346"/>
      <c r="E217" s="346"/>
      <c r="F217" s="346"/>
      <c r="G217" s="346"/>
      <c r="H217" s="346"/>
      <c r="I217" s="346"/>
      <c r="J217" s="349">
        <f>J222/3</f>
        <v>0.005676055725</v>
      </c>
      <c r="K217" s="28"/>
      <c r="L217" s="28"/>
      <c r="M217" s="28"/>
      <c r="N217" s="28"/>
      <c r="O217" s="28"/>
      <c r="P217" s="28"/>
      <c r="Q217" s="28"/>
      <c r="R217" s="28"/>
      <c r="S217" s="28"/>
      <c r="T217" s="28"/>
      <c r="U217" s="28"/>
    </row>
    <row r="218" ht="15.75" customHeight="1">
      <c r="A218" s="15"/>
      <c r="B218" s="15"/>
      <c r="C218" s="345" t="s">
        <v>173</v>
      </c>
      <c r="D218" s="346"/>
      <c r="E218" s="346"/>
      <c r="F218" s="346"/>
      <c r="G218" s="346"/>
      <c r="H218" s="346"/>
      <c r="I218" s="346"/>
      <c r="J218" s="350">
        <f>(J216/J215)-100%+J222</f>
        <v>-0.08449976418</v>
      </c>
      <c r="K218" s="28"/>
      <c r="L218" s="28"/>
      <c r="M218" s="28"/>
      <c r="N218" s="28"/>
      <c r="O218" s="28"/>
      <c r="P218" s="28"/>
      <c r="Q218" s="28"/>
      <c r="R218" s="28"/>
      <c r="S218" s="28"/>
      <c r="T218" s="28"/>
      <c r="U218" s="28"/>
    </row>
    <row r="219" ht="15.75" customHeight="1">
      <c r="A219" s="15"/>
      <c r="B219" s="15"/>
      <c r="C219" s="351" t="s">
        <v>174</v>
      </c>
      <c r="D219" s="352"/>
      <c r="E219" s="352"/>
      <c r="F219" s="352"/>
      <c r="G219" s="352"/>
      <c r="H219" s="352"/>
      <c r="I219" s="352"/>
      <c r="J219" s="353">
        <f>RRI(2.75,J215,J216)+J217</f>
        <v>-0.03250666565</v>
      </c>
      <c r="K219" s="28"/>
      <c r="L219" s="28"/>
      <c r="M219" s="28"/>
      <c r="N219" s="28"/>
      <c r="O219" s="28"/>
      <c r="P219" s="28"/>
      <c r="Q219" s="28"/>
      <c r="R219" s="28"/>
      <c r="S219" s="28"/>
      <c r="T219" s="28"/>
      <c r="U219" s="28"/>
    </row>
    <row r="220" ht="15.75" customHeight="1">
      <c r="A220" s="15"/>
      <c r="B220" s="15"/>
      <c r="K220" s="28"/>
      <c r="L220" s="28"/>
      <c r="M220" s="28"/>
      <c r="N220" s="28"/>
      <c r="O220" s="28"/>
      <c r="P220" s="28"/>
      <c r="Q220" s="28"/>
      <c r="R220" s="28"/>
      <c r="S220" s="28"/>
      <c r="T220" s="28"/>
      <c r="U220" s="28"/>
    </row>
    <row r="221" ht="15.75" customHeight="1">
      <c r="A221" s="15"/>
      <c r="B221" s="15"/>
      <c r="C221" s="135"/>
      <c r="K221" s="28"/>
      <c r="L221" s="28"/>
      <c r="M221" s="28"/>
      <c r="N221" s="28"/>
      <c r="O221" s="28"/>
      <c r="P221" s="28"/>
      <c r="Q221" s="28"/>
      <c r="R221" s="28"/>
      <c r="S221" s="28"/>
      <c r="T221" s="28"/>
      <c r="U221" s="28"/>
    </row>
    <row r="222" ht="15.75" customHeight="1">
      <c r="A222" s="15"/>
      <c r="B222" s="15"/>
      <c r="C222" s="354" t="s">
        <v>175</v>
      </c>
      <c r="D222" s="355"/>
      <c r="E222" s="355"/>
      <c r="F222" s="355"/>
      <c r="G222" s="355"/>
      <c r="H222" s="355"/>
      <c r="I222" s="355"/>
      <c r="J222" s="356">
        <f>O266+P266+Q266+R266+S266</f>
        <v>0.01702816718</v>
      </c>
      <c r="K222" s="28"/>
      <c r="L222" s="28"/>
      <c r="M222" s="28"/>
      <c r="N222" s="28"/>
      <c r="O222" s="28"/>
      <c r="P222" s="28"/>
      <c r="Q222" s="28"/>
      <c r="R222" s="28"/>
      <c r="S222" s="28"/>
      <c r="T222" s="28"/>
      <c r="U222" s="28"/>
    </row>
    <row r="223" ht="15.75" customHeight="1">
      <c r="A223" s="15"/>
      <c r="B223" s="15"/>
      <c r="C223" s="357" t="s">
        <v>172</v>
      </c>
      <c r="D223" s="358"/>
      <c r="E223" s="358"/>
      <c r="F223" s="358"/>
      <c r="G223" s="358"/>
      <c r="H223" s="358"/>
      <c r="I223" s="358"/>
      <c r="J223" s="359">
        <f>J222/5</f>
        <v>0.003405633435</v>
      </c>
      <c r="K223" s="28"/>
      <c r="L223" s="28"/>
      <c r="M223" s="28"/>
      <c r="N223" s="28"/>
      <c r="O223" s="28"/>
      <c r="P223" s="28"/>
      <c r="Q223" s="28"/>
      <c r="R223" s="28"/>
      <c r="S223" s="28"/>
      <c r="T223" s="28"/>
      <c r="U223" s="28"/>
    </row>
    <row r="224" ht="15.75" customHeight="1">
      <c r="A224" s="15"/>
      <c r="B224" s="15"/>
      <c r="C224" s="15"/>
      <c r="D224" s="28"/>
      <c r="E224" s="28"/>
      <c r="F224" s="28"/>
      <c r="G224" s="28"/>
      <c r="H224" s="28"/>
      <c r="I224" s="28"/>
      <c r="J224" s="28"/>
      <c r="K224" s="28"/>
      <c r="L224" s="28"/>
      <c r="M224" s="28"/>
      <c r="N224" s="28"/>
      <c r="O224" s="28"/>
      <c r="P224" s="28"/>
      <c r="Q224" s="28"/>
      <c r="R224" s="28"/>
      <c r="S224" s="28"/>
      <c r="T224" s="28"/>
      <c r="U224" s="28"/>
    </row>
    <row r="225" ht="15.75" customHeight="1">
      <c r="A225" s="15"/>
      <c r="B225" s="15"/>
      <c r="K225" s="28"/>
      <c r="L225" s="28"/>
      <c r="M225" s="28"/>
      <c r="N225" s="28"/>
      <c r="O225" s="28"/>
      <c r="P225" s="28"/>
      <c r="Q225" s="28"/>
      <c r="R225" s="28"/>
      <c r="S225" s="28"/>
      <c r="T225" s="28"/>
      <c r="U225" s="28"/>
    </row>
    <row r="226" ht="15.75" customHeight="1">
      <c r="A226" s="15"/>
      <c r="B226" s="15"/>
      <c r="K226" s="28"/>
      <c r="L226" s="360"/>
      <c r="M226" s="360"/>
      <c r="N226" s="360"/>
      <c r="O226" s="360"/>
      <c r="P226" s="360"/>
      <c r="Q226" s="360"/>
      <c r="R226" s="360"/>
      <c r="S226" s="360"/>
      <c r="T226" s="360"/>
      <c r="U226" s="360"/>
    </row>
    <row r="227" ht="15.75" customHeight="1">
      <c r="A227" s="15"/>
      <c r="B227" s="15"/>
      <c r="K227" s="28"/>
      <c r="L227" s="28"/>
      <c r="M227" s="28"/>
      <c r="N227" s="28"/>
      <c r="O227" s="28"/>
      <c r="P227" s="28"/>
      <c r="Q227" s="28"/>
      <c r="R227" s="28"/>
      <c r="S227" s="28"/>
      <c r="T227" s="28"/>
      <c r="U227" s="28"/>
    </row>
    <row r="228" ht="15.75" customHeight="1">
      <c r="A228" s="15"/>
      <c r="B228" s="15"/>
      <c r="C228" s="15"/>
      <c r="D228" s="28"/>
      <c r="E228" s="28"/>
      <c r="F228" s="28"/>
      <c r="G228" s="28"/>
      <c r="H228" s="28"/>
      <c r="I228" s="28"/>
      <c r="J228" s="28"/>
      <c r="K228" s="28"/>
      <c r="L228" s="28"/>
      <c r="M228" s="28"/>
      <c r="N228" s="28"/>
      <c r="O228" s="28"/>
      <c r="P228" s="28"/>
      <c r="Q228" s="28"/>
      <c r="R228" s="28"/>
      <c r="S228" s="28"/>
      <c r="T228" s="28"/>
      <c r="U228" s="28"/>
    </row>
    <row r="229" ht="15.75" customHeight="1">
      <c r="A229" s="15"/>
      <c r="B229" s="15"/>
      <c r="C229" s="15"/>
      <c r="D229" s="28"/>
      <c r="E229" s="28"/>
      <c r="F229" s="28"/>
      <c r="G229" s="28"/>
      <c r="H229" s="28"/>
      <c r="I229" s="28"/>
      <c r="J229" s="28"/>
      <c r="K229" s="28"/>
      <c r="L229" s="28"/>
      <c r="M229" s="28"/>
      <c r="N229" s="28"/>
      <c r="O229" s="28"/>
      <c r="P229" s="28"/>
      <c r="Q229" s="28"/>
      <c r="R229" s="28"/>
      <c r="S229" s="28"/>
      <c r="T229" s="28"/>
      <c r="U229" s="28"/>
    </row>
    <row r="230" ht="15.75" customHeight="1">
      <c r="A230" s="15"/>
      <c r="B230" s="15"/>
      <c r="C230" s="361" t="s">
        <v>176</v>
      </c>
      <c r="D230" s="221"/>
      <c r="E230" s="221"/>
      <c r="F230" s="221"/>
      <c r="G230" s="221"/>
      <c r="H230" s="221"/>
      <c r="I230" s="221"/>
      <c r="J230" s="362">
        <v>19.5</v>
      </c>
      <c r="K230" s="28"/>
      <c r="L230" s="28"/>
      <c r="M230" s="363" t="s">
        <v>177</v>
      </c>
      <c r="N230" s="364"/>
      <c r="O230" s="364"/>
      <c r="P230" s="364"/>
      <c r="Q230" s="365"/>
      <c r="R230" s="366">
        <f>U110</f>
        <v>14.07648575</v>
      </c>
      <c r="S230" s="28"/>
      <c r="T230" s="28"/>
      <c r="U230" s="28"/>
    </row>
    <row r="231" ht="15.75" customHeight="1">
      <c r="A231" s="15"/>
      <c r="B231" s="15"/>
      <c r="C231" s="367" t="s">
        <v>178</v>
      </c>
      <c r="D231" s="73"/>
      <c r="E231" s="73"/>
      <c r="F231" s="73"/>
      <c r="G231" s="73"/>
      <c r="H231" s="73"/>
      <c r="I231" s="73"/>
      <c r="J231" s="368">
        <f>J230/J215-1</f>
        <v>-0.390625</v>
      </c>
      <c r="K231" s="28"/>
      <c r="L231" s="28"/>
      <c r="M231" s="369" t="s">
        <v>179</v>
      </c>
      <c r="Q231" s="9"/>
      <c r="R231" s="370"/>
      <c r="S231" s="28"/>
      <c r="T231" s="28"/>
      <c r="U231" s="28"/>
    </row>
    <row r="232" ht="15.75" customHeight="1">
      <c r="A232" s="15"/>
      <c r="B232" s="15"/>
      <c r="C232" s="371" t="s">
        <v>180</v>
      </c>
      <c r="D232" s="214"/>
      <c r="E232" s="214"/>
      <c r="F232" s="214"/>
      <c r="G232" s="214"/>
      <c r="H232" s="214"/>
      <c r="I232" s="214"/>
      <c r="J232" s="372" t="s">
        <v>181</v>
      </c>
      <c r="K232" s="28"/>
      <c r="L232" s="28"/>
      <c r="M232" s="373" t="s">
        <v>182</v>
      </c>
      <c r="N232" s="15"/>
      <c r="O232" s="15"/>
      <c r="P232" s="15"/>
      <c r="Q232" s="28"/>
      <c r="R232" s="374">
        <f>ABS(U109)*100</f>
        <v>13.7337047</v>
      </c>
      <c r="S232" s="28"/>
      <c r="T232" s="28"/>
      <c r="U232" s="28"/>
    </row>
    <row r="233" ht="15.75" customHeight="1">
      <c r="A233" s="72"/>
      <c r="B233" s="72"/>
      <c r="C233" s="15"/>
      <c r="D233" s="28"/>
      <c r="E233" s="28"/>
      <c r="F233" s="28"/>
      <c r="G233" s="28"/>
      <c r="H233" s="28"/>
      <c r="I233" s="28"/>
      <c r="J233" s="28"/>
      <c r="K233" s="73"/>
      <c r="L233" s="28"/>
      <c r="M233" s="373" t="s">
        <v>183</v>
      </c>
      <c r="N233" s="73"/>
      <c r="O233" s="73"/>
      <c r="P233" s="73"/>
      <c r="Q233" s="73"/>
      <c r="R233" s="375">
        <v>2.5</v>
      </c>
      <c r="S233" s="28"/>
      <c r="T233" s="28"/>
      <c r="U233" s="28"/>
    </row>
    <row r="234" ht="15.75" customHeight="1">
      <c r="A234" s="376"/>
      <c r="B234" s="376"/>
      <c r="C234" s="15"/>
      <c r="D234" s="28"/>
      <c r="E234" s="28"/>
      <c r="F234" s="28"/>
      <c r="G234" s="28"/>
      <c r="H234" s="28"/>
      <c r="I234" s="28"/>
      <c r="J234" s="28"/>
      <c r="K234" s="377"/>
      <c r="L234" s="73"/>
      <c r="M234" s="373" t="s">
        <v>184</v>
      </c>
      <c r="N234" s="28"/>
      <c r="O234" s="28"/>
      <c r="P234" s="28"/>
      <c r="Q234" s="28"/>
      <c r="R234" s="370">
        <v>8.0</v>
      </c>
      <c r="S234" s="73"/>
      <c r="T234" s="73"/>
      <c r="U234" s="73"/>
    </row>
    <row r="235" ht="15.75" customHeight="1">
      <c r="A235" s="15"/>
      <c r="B235" s="15"/>
      <c r="C235" s="15"/>
      <c r="D235" s="28"/>
      <c r="E235" s="28"/>
      <c r="F235" s="28"/>
      <c r="G235" s="28"/>
      <c r="H235" s="28"/>
      <c r="I235" s="28"/>
      <c r="J235" s="28"/>
      <c r="K235" s="28"/>
      <c r="L235" s="28"/>
      <c r="M235" s="378" t="s">
        <v>185</v>
      </c>
      <c r="N235" s="28"/>
      <c r="O235" s="28"/>
      <c r="P235" s="28"/>
      <c r="Q235" s="28"/>
      <c r="R235" s="370">
        <v>0.85</v>
      </c>
      <c r="S235" s="28"/>
      <c r="T235" s="28"/>
      <c r="U235" s="28"/>
    </row>
    <row r="236" ht="15.75" customHeight="1">
      <c r="A236" s="15"/>
      <c r="B236" s="15"/>
      <c r="C236" s="15"/>
      <c r="D236" s="28"/>
      <c r="E236" s="28"/>
      <c r="F236" s="28"/>
      <c r="G236" s="28"/>
      <c r="H236" s="28"/>
      <c r="I236" s="28"/>
      <c r="J236" s="28"/>
      <c r="K236" s="28"/>
      <c r="L236" s="28"/>
      <c r="M236" s="373"/>
      <c r="N236" s="28"/>
      <c r="O236" s="28"/>
      <c r="P236" s="28"/>
      <c r="Q236" s="28"/>
      <c r="R236" s="379"/>
      <c r="S236" s="28"/>
      <c r="T236" s="28"/>
      <c r="U236" s="28"/>
    </row>
    <row r="237" ht="15.75" customHeight="1">
      <c r="A237" s="380"/>
      <c r="B237" s="380"/>
      <c r="C237" s="15"/>
      <c r="D237" s="28"/>
      <c r="E237" s="28"/>
      <c r="F237" s="28"/>
      <c r="G237" s="28"/>
      <c r="H237" s="28"/>
      <c r="I237" s="28"/>
      <c r="J237" s="28"/>
      <c r="K237" s="381"/>
      <c r="L237" s="28"/>
      <c r="M237" s="369" t="s">
        <v>186</v>
      </c>
      <c r="Q237" s="73"/>
      <c r="R237" s="375">
        <f>((R232-R233)/(R234-R233))*R235</f>
        <v>1.736117999</v>
      </c>
      <c r="S237" s="28"/>
      <c r="T237" s="28"/>
      <c r="U237" s="28"/>
    </row>
    <row r="238" ht="15.75" customHeight="1">
      <c r="A238" s="15"/>
      <c r="B238" s="15"/>
      <c r="C238" s="15"/>
      <c r="D238" s="28"/>
      <c r="E238" s="28"/>
      <c r="F238" s="28"/>
      <c r="G238" s="28"/>
      <c r="H238" s="28"/>
      <c r="I238" s="28"/>
      <c r="J238" s="28"/>
      <c r="K238" s="28"/>
      <c r="L238" s="73"/>
      <c r="M238" s="382" t="s">
        <v>187</v>
      </c>
      <c r="P238" s="377"/>
      <c r="Q238" s="377"/>
      <c r="R238" s="383">
        <f>R237/R235</f>
        <v>2.042491763</v>
      </c>
      <c r="S238" s="73"/>
      <c r="T238" s="73"/>
      <c r="U238" s="73"/>
    </row>
    <row r="239" ht="15.75" customHeight="1">
      <c r="A239" s="15"/>
      <c r="B239" s="15"/>
      <c r="C239" s="15"/>
      <c r="D239" s="28"/>
      <c r="E239" s="28"/>
      <c r="F239" s="28"/>
      <c r="G239" s="28"/>
      <c r="H239" s="28"/>
      <c r="I239" s="28"/>
      <c r="J239" s="28"/>
      <c r="K239" s="28"/>
      <c r="L239" s="28"/>
      <c r="M239" s="384"/>
      <c r="N239" s="384"/>
      <c r="O239" s="384"/>
      <c r="P239" s="384"/>
      <c r="Q239" s="385"/>
      <c r="R239" s="386"/>
      <c r="S239" s="28"/>
      <c r="T239" s="28"/>
      <c r="U239" s="28"/>
    </row>
    <row r="240" ht="15.75" customHeight="1">
      <c r="A240" s="15"/>
      <c r="B240" s="15"/>
      <c r="C240" s="15"/>
      <c r="D240" s="28"/>
      <c r="E240" s="28"/>
      <c r="F240" s="28"/>
      <c r="G240" s="28"/>
      <c r="H240" s="28"/>
      <c r="I240" s="28"/>
      <c r="J240" s="28"/>
      <c r="K240" s="28"/>
      <c r="L240" s="28"/>
      <c r="M240" s="387" t="s">
        <v>188</v>
      </c>
      <c r="N240" s="388"/>
      <c r="O240" s="388"/>
      <c r="P240" s="388"/>
      <c r="Q240" s="389"/>
      <c r="R240" s="390">
        <f>R230*R238</f>
        <v>28.7511062</v>
      </c>
      <c r="S240" s="28"/>
      <c r="T240" s="28"/>
      <c r="U240" s="28"/>
    </row>
    <row r="241" ht="15.75" customHeight="1">
      <c r="A241" s="391"/>
      <c r="B241" s="391"/>
      <c r="C241" s="15"/>
      <c r="D241" s="28"/>
      <c r="E241" s="28"/>
      <c r="F241" s="28"/>
      <c r="G241" s="28"/>
      <c r="H241" s="28"/>
      <c r="I241" s="28"/>
      <c r="J241" s="28"/>
      <c r="K241" s="332"/>
      <c r="L241" s="28"/>
      <c r="M241" s="392" t="s">
        <v>189</v>
      </c>
      <c r="N241" s="28"/>
      <c r="O241" s="28"/>
      <c r="P241" s="28"/>
      <c r="Q241" s="28"/>
      <c r="R241" s="393">
        <f>R240/J215-100%</f>
        <v>-0.1015279314</v>
      </c>
      <c r="S241" s="28"/>
      <c r="T241" s="28"/>
      <c r="U241" s="28"/>
    </row>
    <row r="242" ht="15.75" customHeight="1">
      <c r="A242" s="15"/>
      <c r="B242" s="15"/>
      <c r="C242" s="15"/>
      <c r="D242" s="28"/>
      <c r="E242" s="28"/>
      <c r="F242" s="28"/>
      <c r="G242" s="28"/>
      <c r="H242" s="28"/>
      <c r="I242" s="28"/>
      <c r="J242" s="28"/>
      <c r="K242" s="28"/>
      <c r="L242" s="28"/>
      <c r="M242" s="394" t="s">
        <v>190</v>
      </c>
      <c r="O242" s="395"/>
      <c r="P242" s="395"/>
      <c r="Q242" s="395"/>
      <c r="R242" s="396">
        <f>RRI(2.75,J215,R240)</f>
        <v>-0.03818272137</v>
      </c>
      <c r="S242" s="28"/>
      <c r="T242" s="28"/>
      <c r="U242" s="28"/>
    </row>
    <row r="243" ht="15.75" customHeight="1">
      <c r="A243" s="72"/>
      <c r="B243" s="72"/>
      <c r="C243" s="72"/>
      <c r="D243" s="73"/>
      <c r="E243" s="73"/>
      <c r="F243" s="73"/>
      <c r="G243" s="73"/>
      <c r="H243" s="73"/>
      <c r="I243" s="73"/>
      <c r="J243" s="73"/>
      <c r="K243" s="73"/>
      <c r="L243" s="381"/>
      <c r="M243" s="397" t="s">
        <v>191</v>
      </c>
      <c r="N243" s="398"/>
      <c r="O243" s="73"/>
      <c r="P243" s="73"/>
      <c r="Q243" s="73"/>
      <c r="R243" s="399">
        <f>J223</f>
        <v>0.003405633435</v>
      </c>
      <c r="S243" s="381"/>
      <c r="T243" s="381"/>
      <c r="U243" s="381"/>
      <c r="V243" s="135"/>
      <c r="W243" s="135"/>
      <c r="X243" s="135"/>
      <c r="Y243" s="135"/>
      <c r="Z243" s="135"/>
      <c r="AA243" s="135"/>
      <c r="AB243" s="135"/>
      <c r="AC243" s="135"/>
    </row>
    <row r="244" ht="15.75" customHeight="1">
      <c r="A244" s="72"/>
      <c r="B244" s="72"/>
      <c r="C244" s="72"/>
      <c r="D244" s="73"/>
      <c r="E244" s="73"/>
      <c r="F244" s="73"/>
      <c r="G244" s="73"/>
      <c r="H244" s="73"/>
      <c r="I244" s="73"/>
      <c r="J244" s="73"/>
      <c r="K244" s="73"/>
      <c r="L244" s="381"/>
      <c r="M244" s="400" t="s">
        <v>192</v>
      </c>
      <c r="N244" s="401"/>
      <c r="O244" s="402"/>
      <c r="P244" s="402"/>
      <c r="Q244" s="402"/>
      <c r="R244" s="403">
        <f>R242+R243</f>
        <v>-0.03477708794</v>
      </c>
      <c r="S244" s="381"/>
      <c r="T244" s="381"/>
      <c r="U244" s="381"/>
      <c r="V244" s="135"/>
      <c r="W244" s="135"/>
      <c r="X244" s="135"/>
      <c r="Y244" s="135"/>
      <c r="Z244" s="135"/>
      <c r="AA244" s="135"/>
      <c r="AB244" s="135"/>
      <c r="AC244" s="135"/>
    </row>
    <row r="245" ht="15.75" customHeight="1">
      <c r="A245" s="15"/>
      <c r="B245" s="15"/>
      <c r="C245" s="15"/>
      <c r="D245" s="28"/>
      <c r="E245" s="28"/>
      <c r="F245" s="28"/>
      <c r="G245" s="28"/>
      <c r="H245" s="28"/>
      <c r="I245" s="28"/>
      <c r="J245" s="28"/>
      <c r="K245" s="28"/>
      <c r="L245" s="381"/>
      <c r="M245" s="404" t="s">
        <v>193</v>
      </c>
      <c r="N245" s="405"/>
      <c r="O245" s="406"/>
      <c r="P245" s="406"/>
      <c r="Q245" s="406"/>
      <c r="R245" s="407">
        <f>R240/J230-100%</f>
        <v>0.4744157024</v>
      </c>
      <c r="S245" s="381"/>
      <c r="T245" s="381"/>
      <c r="U245" s="381"/>
    </row>
    <row r="246" ht="15.75" customHeight="1">
      <c r="A246" s="15"/>
      <c r="B246" s="15"/>
      <c r="C246" s="15"/>
      <c r="D246" s="28"/>
      <c r="E246" s="28"/>
      <c r="F246" s="28"/>
      <c r="G246" s="28"/>
      <c r="H246" s="28"/>
      <c r="I246" s="28"/>
      <c r="J246" s="28"/>
      <c r="K246" s="28"/>
      <c r="L246" s="381"/>
      <c r="M246" s="408" t="s">
        <v>194</v>
      </c>
      <c r="O246" s="409"/>
      <c r="P246" s="409"/>
      <c r="Q246" s="409"/>
      <c r="R246" s="410">
        <f>RRI(2.75,J230,R240)</f>
        <v>0.151638949</v>
      </c>
      <c r="S246" s="381"/>
      <c r="T246" s="381"/>
      <c r="U246" s="381"/>
    </row>
    <row r="247" ht="15.75" customHeight="1">
      <c r="A247" s="15"/>
      <c r="B247" s="15"/>
      <c r="C247" s="15"/>
      <c r="D247" s="28"/>
      <c r="E247" s="28"/>
      <c r="F247" s="28"/>
      <c r="G247" s="28"/>
      <c r="H247" s="28"/>
      <c r="I247" s="28"/>
      <c r="J247" s="28"/>
      <c r="K247" s="28"/>
      <c r="L247" s="381"/>
      <c r="M247" s="397" t="s">
        <v>191</v>
      </c>
      <c r="N247" s="398"/>
      <c r="O247" s="73"/>
      <c r="P247" s="73"/>
      <c r="Q247" s="73"/>
      <c r="R247" s="399">
        <f>J223</f>
        <v>0.003405633435</v>
      </c>
      <c r="S247" s="381"/>
      <c r="T247" s="381"/>
      <c r="U247" s="381"/>
    </row>
    <row r="248" ht="15.75" customHeight="1">
      <c r="A248" s="15"/>
      <c r="B248" s="15"/>
      <c r="C248" s="15"/>
      <c r="D248" s="28"/>
      <c r="E248" s="28"/>
      <c r="F248" s="28"/>
      <c r="G248" s="28"/>
      <c r="H248" s="28"/>
      <c r="I248" s="28"/>
      <c r="J248" s="28"/>
      <c r="K248" s="28"/>
      <c r="L248" s="381"/>
      <c r="M248" s="411" t="s">
        <v>192</v>
      </c>
      <c r="N248" s="412"/>
      <c r="O248" s="413"/>
      <c r="P248" s="413"/>
      <c r="Q248" s="413"/>
      <c r="R248" s="414">
        <f>R246+R247</f>
        <v>0.1550445825</v>
      </c>
      <c r="S248" s="381"/>
      <c r="T248" s="381"/>
      <c r="U248" s="381"/>
    </row>
    <row r="249" ht="15.75" customHeight="1">
      <c r="A249" s="15"/>
      <c r="B249" s="15"/>
      <c r="C249" s="15"/>
      <c r="D249" s="28"/>
      <c r="E249" s="28"/>
      <c r="F249" s="28"/>
      <c r="G249" s="28"/>
      <c r="H249" s="28"/>
      <c r="I249" s="28"/>
      <c r="J249" s="28"/>
      <c r="K249" s="28"/>
      <c r="L249" s="28"/>
      <c r="M249" s="213"/>
      <c r="N249" s="213"/>
      <c r="O249" s="213"/>
      <c r="P249" s="213"/>
      <c r="Q249" s="213"/>
      <c r="R249" s="415"/>
      <c r="S249" s="28"/>
      <c r="T249" s="28"/>
      <c r="U249" s="28"/>
    </row>
    <row r="250" ht="15.75" customHeight="1">
      <c r="A250" s="15"/>
      <c r="B250" s="15"/>
      <c r="C250" s="15"/>
      <c r="D250" s="28"/>
      <c r="E250" s="28"/>
      <c r="F250" s="28"/>
      <c r="G250" s="28"/>
      <c r="H250" s="28"/>
      <c r="I250" s="28"/>
      <c r="J250" s="28"/>
      <c r="K250" s="28"/>
      <c r="L250" s="28"/>
      <c r="M250" s="416" t="s">
        <v>195</v>
      </c>
      <c r="R250" s="417">
        <f>R230*R237</f>
        <v>24.43844027</v>
      </c>
      <c r="S250" s="28"/>
      <c r="T250" s="28"/>
      <c r="U250" s="28"/>
    </row>
    <row r="251" ht="15.75" customHeight="1">
      <c r="A251" s="15"/>
      <c r="B251" s="15"/>
      <c r="C251" s="15"/>
      <c r="D251" s="28"/>
      <c r="E251" s="28"/>
      <c r="F251" s="28"/>
      <c r="G251" s="28"/>
      <c r="H251" s="28"/>
      <c r="I251" s="28"/>
      <c r="J251" s="28"/>
      <c r="K251" s="28"/>
      <c r="L251" s="28"/>
      <c r="M251" s="392" t="s">
        <v>189</v>
      </c>
      <c r="N251" s="28"/>
      <c r="O251" s="28"/>
      <c r="P251" s="28"/>
      <c r="Q251" s="28"/>
      <c r="R251" s="399">
        <f>R250/J215-100%</f>
        <v>-0.2362987416</v>
      </c>
      <c r="S251" s="28"/>
      <c r="T251" s="28"/>
      <c r="U251" s="28"/>
    </row>
    <row r="252" ht="15.75" customHeight="1">
      <c r="A252" s="15"/>
      <c r="B252" s="15"/>
      <c r="C252" s="15"/>
      <c r="D252" s="28"/>
      <c r="E252" s="28"/>
      <c r="F252" s="28"/>
      <c r="G252" s="28"/>
      <c r="H252" s="28"/>
      <c r="I252" s="28"/>
      <c r="J252" s="28"/>
      <c r="K252" s="28"/>
      <c r="L252" s="28"/>
      <c r="M252" s="418" t="s">
        <v>190</v>
      </c>
      <c r="O252" s="419"/>
      <c r="P252" s="419"/>
      <c r="Q252" s="419"/>
      <c r="R252" s="420">
        <f>RRI(2.75,J215,R250)</f>
        <v>-0.09337700605</v>
      </c>
      <c r="S252" s="28"/>
      <c r="T252" s="28"/>
      <c r="U252" s="28"/>
    </row>
    <row r="253" ht="15.75" customHeight="1">
      <c r="A253" s="15"/>
      <c r="B253" s="15"/>
      <c r="C253" s="15"/>
      <c r="D253" s="28"/>
      <c r="E253" s="28"/>
      <c r="F253" s="28"/>
      <c r="G253" s="28"/>
      <c r="H253" s="28"/>
      <c r="I253" s="28"/>
      <c r="J253" s="28"/>
      <c r="K253" s="28"/>
      <c r="L253" s="28"/>
      <c r="M253" s="421" t="s">
        <v>191</v>
      </c>
      <c r="N253" s="37"/>
      <c r="O253" s="37"/>
      <c r="P253" s="37"/>
      <c r="Q253" s="37"/>
      <c r="R253" s="422">
        <f>J223</f>
        <v>0.003405633435</v>
      </c>
      <c r="S253" s="28"/>
      <c r="T253" s="28"/>
      <c r="U253" s="28"/>
    </row>
    <row r="254" ht="15.75" customHeight="1">
      <c r="A254" s="15"/>
      <c r="B254" s="15"/>
      <c r="C254" s="15"/>
      <c r="D254" s="28"/>
      <c r="E254" s="28"/>
      <c r="F254" s="28"/>
      <c r="G254" s="28"/>
      <c r="H254" s="28"/>
      <c r="I254" s="28"/>
      <c r="J254" s="28"/>
      <c r="K254" s="28"/>
      <c r="L254" s="28"/>
      <c r="M254" s="423" t="s">
        <v>192</v>
      </c>
      <c r="N254" s="424"/>
      <c r="O254" s="424"/>
      <c r="P254" s="424"/>
      <c r="Q254" s="424"/>
      <c r="R254" s="425">
        <f>R252+R253</f>
        <v>-0.08997137262</v>
      </c>
      <c r="S254" s="28"/>
      <c r="T254" s="28"/>
      <c r="U254" s="28"/>
    </row>
    <row r="255" ht="15.75" customHeight="1">
      <c r="A255" s="15"/>
      <c r="B255" s="15"/>
      <c r="C255" s="15"/>
      <c r="D255" s="28"/>
      <c r="E255" s="28"/>
      <c r="F255" s="28"/>
      <c r="G255" s="28"/>
      <c r="H255" s="28"/>
      <c r="I255" s="28"/>
      <c r="J255" s="28"/>
      <c r="K255" s="28"/>
      <c r="L255" s="28"/>
      <c r="M255" s="404" t="s">
        <v>196</v>
      </c>
      <c r="N255" s="405"/>
      <c r="O255" s="426"/>
      <c r="P255" s="426"/>
      <c r="Q255" s="426"/>
      <c r="R255" s="427">
        <f>R250/J230-100%</f>
        <v>0.253253347</v>
      </c>
      <c r="S255" s="28"/>
      <c r="T255" s="28"/>
      <c r="U255" s="28"/>
    </row>
    <row r="256" ht="15.75" customHeight="1">
      <c r="A256" s="15"/>
      <c r="B256" s="15"/>
      <c r="C256" s="15"/>
      <c r="D256" s="28"/>
      <c r="E256" s="28"/>
      <c r="F256" s="28"/>
      <c r="G256" s="28"/>
      <c r="H256" s="28"/>
      <c r="I256" s="28"/>
      <c r="J256" s="28"/>
      <c r="K256" s="28"/>
      <c r="L256" s="28"/>
      <c r="M256" s="408" t="s">
        <v>194</v>
      </c>
      <c r="N256" s="428"/>
      <c r="O256" s="419"/>
      <c r="P256" s="419"/>
      <c r="Q256" s="419"/>
      <c r="R256" s="420">
        <f>RRI(2.75,J230,R250)</f>
        <v>0.08555166883</v>
      </c>
      <c r="S256" s="28"/>
      <c r="T256" s="28"/>
      <c r="U256" s="28"/>
    </row>
    <row r="257" ht="15.75" customHeight="1">
      <c r="A257" s="15"/>
      <c r="B257" s="15"/>
      <c r="C257" s="15"/>
      <c r="D257" s="28"/>
      <c r="E257" s="28"/>
      <c r="F257" s="28"/>
      <c r="G257" s="28"/>
      <c r="H257" s="28"/>
      <c r="I257" s="28"/>
      <c r="J257" s="28"/>
      <c r="K257" s="28"/>
      <c r="L257" s="28"/>
      <c r="M257" s="421" t="s">
        <v>191</v>
      </c>
      <c r="N257" s="37"/>
      <c r="O257" s="37"/>
      <c r="P257" s="37"/>
      <c r="Q257" s="37"/>
      <c r="R257" s="422">
        <f>J223</f>
        <v>0.003405633435</v>
      </c>
      <c r="S257" s="28"/>
      <c r="T257" s="28"/>
      <c r="U257" s="28"/>
    </row>
    <row r="258" ht="15.75" customHeight="1">
      <c r="A258" s="15"/>
      <c r="B258" s="15"/>
      <c r="C258" s="15"/>
      <c r="D258" s="28"/>
      <c r="E258" s="28"/>
      <c r="F258" s="28"/>
      <c r="G258" s="28"/>
      <c r="H258" s="28"/>
      <c r="I258" s="28"/>
      <c r="J258" s="28"/>
      <c r="K258" s="28"/>
      <c r="L258" s="28"/>
      <c r="M258" s="429" t="s">
        <v>192</v>
      </c>
      <c r="N258" s="430"/>
      <c r="O258" s="430"/>
      <c r="P258" s="430"/>
      <c r="Q258" s="430"/>
      <c r="R258" s="431">
        <f>R256+R257</f>
        <v>0.08895730226</v>
      </c>
      <c r="S258" s="28"/>
      <c r="T258" s="28"/>
      <c r="U258" s="28"/>
    </row>
    <row r="259" ht="15.75" customHeight="1">
      <c r="A259" s="15"/>
      <c r="B259" s="15"/>
      <c r="C259" s="15"/>
      <c r="D259" s="28"/>
      <c r="E259" s="28"/>
      <c r="F259" s="28"/>
      <c r="G259" s="28"/>
      <c r="H259" s="28"/>
      <c r="I259" s="28"/>
      <c r="J259" s="28"/>
      <c r="K259" s="28"/>
      <c r="L259" s="28"/>
      <c r="S259" s="28"/>
      <c r="T259" s="28"/>
      <c r="U259" s="28"/>
    </row>
    <row r="260" ht="15.75" customHeight="1">
      <c r="A260" s="15"/>
      <c r="B260" s="15"/>
      <c r="C260" s="15"/>
      <c r="D260" s="28"/>
      <c r="E260" s="28"/>
      <c r="F260" s="28"/>
      <c r="G260" s="28"/>
      <c r="H260" s="28"/>
      <c r="I260" s="28"/>
      <c r="J260" s="28"/>
      <c r="K260" s="28"/>
      <c r="L260" s="28"/>
      <c r="S260" s="28"/>
      <c r="T260" s="28"/>
      <c r="U260" s="28"/>
    </row>
    <row r="261" ht="15.75" customHeight="1">
      <c r="A261" s="15"/>
      <c r="B261" s="15"/>
      <c r="C261" s="15"/>
      <c r="D261" s="28"/>
      <c r="E261" s="28"/>
      <c r="F261" s="28"/>
      <c r="G261" s="28"/>
      <c r="H261" s="28"/>
      <c r="I261" s="28"/>
      <c r="J261" s="28"/>
      <c r="K261" s="28"/>
      <c r="L261" s="332"/>
      <c r="M261" s="432"/>
      <c r="N261" s="433"/>
      <c r="O261" s="434" t="s">
        <v>5</v>
      </c>
      <c r="P261" s="434" t="s">
        <v>6</v>
      </c>
      <c r="Q261" s="434" t="s">
        <v>7</v>
      </c>
      <c r="R261" s="434" t="s">
        <v>8</v>
      </c>
      <c r="S261" s="435" t="s">
        <v>9</v>
      </c>
      <c r="T261" s="332"/>
      <c r="U261" s="332"/>
      <c r="V261" s="436"/>
      <c r="W261" s="436"/>
    </row>
    <row r="262" ht="15.75" customHeight="1">
      <c r="A262" s="15"/>
      <c r="B262" s="15"/>
      <c r="C262" s="15"/>
      <c r="D262" s="28"/>
      <c r="E262" s="28"/>
      <c r="F262" s="28"/>
      <c r="G262" s="28"/>
      <c r="H262" s="28"/>
      <c r="I262" s="28"/>
      <c r="J262" s="28"/>
      <c r="K262" s="28"/>
      <c r="L262" s="28"/>
      <c r="M262" s="437" t="s">
        <v>197</v>
      </c>
      <c r="O262" s="438">
        <f t="shared" ref="O262:S262" si="152">Q109</f>
        <v>0.1830038652</v>
      </c>
      <c r="P262" s="438">
        <f t="shared" si="152"/>
        <v>0.1629009352</v>
      </c>
      <c r="Q262" s="438">
        <f t="shared" si="152"/>
        <v>0.1525312386</v>
      </c>
      <c r="R262" s="438">
        <f t="shared" si="152"/>
        <v>0.1442744259</v>
      </c>
      <c r="S262" s="439">
        <f t="shared" si="152"/>
        <v>0.137337047</v>
      </c>
      <c r="T262" s="28"/>
      <c r="U262" s="28"/>
    </row>
    <row r="263" ht="15.75" customHeight="1">
      <c r="A263" s="15"/>
      <c r="B263" s="15"/>
      <c r="C263" s="15"/>
      <c r="D263" s="28"/>
      <c r="E263" s="28"/>
      <c r="F263" s="28"/>
      <c r="G263" s="28"/>
      <c r="H263" s="28"/>
      <c r="I263" s="28"/>
      <c r="J263" s="28"/>
      <c r="K263" s="28"/>
      <c r="L263" s="28"/>
      <c r="M263" s="440" t="s">
        <v>198</v>
      </c>
      <c r="O263" s="441">
        <f>Q110*R238</f>
        <v>16.70323386</v>
      </c>
      <c r="P263" s="441">
        <f>R110*R238</f>
        <v>19.441131</v>
      </c>
      <c r="Q263" s="441">
        <f>S110*R238</f>
        <v>22.30666003</v>
      </c>
      <c r="R263" s="441">
        <f>T110*R238</f>
        <v>25.40421674</v>
      </c>
      <c r="S263" s="442">
        <f>U110*R238</f>
        <v>28.7511062</v>
      </c>
      <c r="T263" s="28"/>
      <c r="U263" s="28"/>
    </row>
    <row r="264" ht="15.75" customHeight="1">
      <c r="A264" s="15"/>
      <c r="B264" s="15"/>
      <c r="C264" s="15"/>
      <c r="D264" s="28"/>
      <c r="E264" s="28"/>
      <c r="F264" s="28"/>
      <c r="G264" s="28"/>
      <c r="H264" s="28"/>
      <c r="I264" s="28"/>
      <c r="J264" s="28"/>
      <c r="K264" s="28"/>
      <c r="L264" s="28"/>
      <c r="M264" s="440" t="s">
        <v>199</v>
      </c>
      <c r="O264" s="441">
        <f>Q110*R237</f>
        <v>14.19774878</v>
      </c>
      <c r="P264" s="441">
        <f>R110*R237</f>
        <v>16.52496135</v>
      </c>
      <c r="Q264" s="441">
        <f>S110*R237</f>
        <v>18.96066102</v>
      </c>
      <c r="R264" s="441">
        <f>T110*R237</f>
        <v>21.59358423</v>
      </c>
      <c r="S264" s="442">
        <f>U110*R237</f>
        <v>24.43844027</v>
      </c>
      <c r="T264" s="28"/>
      <c r="U264" s="28"/>
    </row>
    <row r="265" ht="15.75" customHeight="1">
      <c r="A265" s="15"/>
      <c r="B265" s="15"/>
      <c r="C265" s="15"/>
      <c r="D265" s="28"/>
      <c r="E265" s="28"/>
      <c r="F265" s="28"/>
      <c r="G265" s="28"/>
      <c r="H265" s="28"/>
      <c r="I265" s="28"/>
      <c r="J265" s="28"/>
      <c r="K265" s="28"/>
      <c r="L265" s="28"/>
      <c r="M265" s="443" t="s">
        <v>200</v>
      </c>
      <c r="O265" s="55">
        <f>O263/J215-1</f>
        <v>-0.4780239418</v>
      </c>
      <c r="P265" s="55">
        <f>P263/J215-1</f>
        <v>-0.3924646561</v>
      </c>
      <c r="Q265" s="55">
        <f>Q263/J215-1</f>
        <v>-0.3029168741</v>
      </c>
      <c r="R265" s="55">
        <f>R263/J215-1</f>
        <v>-0.2061182269</v>
      </c>
      <c r="S265" s="444">
        <f>S263/J215-1</f>
        <v>-0.1015279314</v>
      </c>
      <c r="T265" s="28"/>
      <c r="U265" s="28"/>
    </row>
    <row r="266" ht="15.75" customHeight="1">
      <c r="A266" s="15"/>
      <c r="B266" s="15"/>
      <c r="C266" s="15"/>
      <c r="D266" s="28"/>
      <c r="E266" s="28"/>
      <c r="F266" s="28"/>
      <c r="G266" s="28"/>
      <c r="H266" s="28"/>
      <c r="I266" s="28"/>
      <c r="J266" s="28"/>
      <c r="K266" s="28"/>
      <c r="L266" s="28"/>
      <c r="M266" s="445" t="s">
        <v>201</v>
      </c>
      <c r="O266" s="55">
        <f>P67/J215</f>
        <v>0.001586581133</v>
      </c>
      <c r="P266" s="55">
        <f>Q67/J215</f>
        <v>0.002151395346</v>
      </c>
      <c r="Q266" s="55">
        <f>R67/J215</f>
        <v>0.003152985165</v>
      </c>
      <c r="R266" s="55">
        <f>S67/J215</f>
        <v>0.004871380015</v>
      </c>
      <c r="S266" s="444">
        <f>T67/J215</f>
        <v>0.005265825516</v>
      </c>
      <c r="T266" s="28"/>
      <c r="U266" s="28"/>
    </row>
    <row r="267" ht="15.75" customHeight="1">
      <c r="A267" s="15"/>
      <c r="B267" s="15"/>
      <c r="C267" s="15"/>
      <c r="D267" s="28"/>
      <c r="E267" s="28"/>
      <c r="F267" s="28"/>
      <c r="G267" s="28"/>
      <c r="H267" s="28"/>
      <c r="I267" s="28"/>
      <c r="J267" s="28"/>
      <c r="K267" s="28"/>
      <c r="L267" s="28"/>
      <c r="M267" s="446" t="s">
        <v>202</v>
      </c>
      <c r="N267" s="447"/>
      <c r="O267" s="448">
        <f t="shared" ref="O267:S267" si="153">O265+O266</f>
        <v>-0.4764373606</v>
      </c>
      <c r="P267" s="448">
        <f t="shared" si="153"/>
        <v>-0.3903132608</v>
      </c>
      <c r="Q267" s="448">
        <f t="shared" si="153"/>
        <v>-0.299763889</v>
      </c>
      <c r="R267" s="448">
        <f t="shared" si="153"/>
        <v>-0.2012468469</v>
      </c>
      <c r="S267" s="449">
        <f t="shared" si="153"/>
        <v>-0.09626210584</v>
      </c>
      <c r="T267" s="28"/>
      <c r="U267" s="28"/>
    </row>
    <row r="268" ht="15.75" customHeight="1">
      <c r="A268" s="15"/>
      <c r="B268" s="15"/>
      <c r="C268" s="15"/>
      <c r="D268" s="28"/>
      <c r="E268" s="28"/>
      <c r="F268" s="28"/>
      <c r="G268" s="28"/>
      <c r="H268" s="28"/>
      <c r="I268" s="28"/>
      <c r="J268" s="28"/>
      <c r="K268" s="28"/>
      <c r="L268" s="28"/>
      <c r="M268" s="37"/>
      <c r="N268" s="37"/>
      <c r="O268" s="37"/>
      <c r="P268" s="37"/>
      <c r="Q268" s="37"/>
      <c r="R268" s="37"/>
      <c r="S268" s="28"/>
      <c r="T268" s="28"/>
      <c r="U268" s="28"/>
    </row>
    <row r="269" ht="15.75" customHeight="1">
      <c r="A269" s="15"/>
      <c r="B269" s="15"/>
      <c r="C269" s="15"/>
      <c r="D269" s="28"/>
      <c r="E269" s="28"/>
      <c r="F269" s="28"/>
      <c r="G269" s="28"/>
      <c r="H269" s="28"/>
      <c r="I269" s="28"/>
      <c r="J269" s="28"/>
      <c r="K269" s="28"/>
      <c r="L269" s="28"/>
      <c r="M269" s="450"/>
      <c r="R269" s="450"/>
      <c r="S269" s="28"/>
      <c r="T269" s="28"/>
      <c r="U269" s="28"/>
    </row>
    <row r="270" ht="15.75" customHeight="1">
      <c r="A270" s="15"/>
      <c r="B270" s="15"/>
      <c r="C270" s="15"/>
      <c r="D270" s="28"/>
      <c r="E270" s="28"/>
      <c r="F270" s="28"/>
      <c r="G270" s="28"/>
      <c r="H270" s="28"/>
      <c r="I270" s="28"/>
      <c r="J270" s="28"/>
      <c r="K270" s="28"/>
      <c r="L270" s="28"/>
      <c r="R270" s="450"/>
      <c r="S270" s="28"/>
      <c r="T270" s="28"/>
      <c r="U270" s="28"/>
    </row>
    <row r="271" ht="15.75" customHeight="1">
      <c r="A271" s="15"/>
      <c r="B271" s="15"/>
      <c r="C271" s="15"/>
      <c r="D271" s="28"/>
      <c r="E271" s="28"/>
      <c r="F271" s="28"/>
      <c r="G271" s="28"/>
      <c r="H271" s="28"/>
      <c r="I271" s="28"/>
      <c r="J271" s="28"/>
      <c r="K271" s="28"/>
      <c r="L271" s="28"/>
      <c r="R271" s="450"/>
      <c r="S271" s="28"/>
      <c r="T271" s="28"/>
      <c r="U271" s="28"/>
    </row>
    <row r="272" ht="15.75" customHeight="1">
      <c r="A272" s="15"/>
      <c r="B272" s="15"/>
      <c r="C272" s="15"/>
      <c r="D272" s="28"/>
      <c r="E272" s="28"/>
      <c r="F272" s="28"/>
      <c r="G272" s="28"/>
      <c r="H272" s="28"/>
      <c r="I272" s="28"/>
      <c r="J272" s="28"/>
      <c r="K272" s="28"/>
      <c r="L272" s="28"/>
      <c r="M272" s="28"/>
      <c r="N272" s="28"/>
      <c r="O272" s="28"/>
      <c r="P272" s="28"/>
      <c r="Q272" s="28"/>
      <c r="R272" s="28"/>
      <c r="S272" s="28"/>
      <c r="T272" s="28"/>
      <c r="U272" s="28"/>
    </row>
    <row r="273" ht="15.75" customHeight="1">
      <c r="A273" s="15"/>
      <c r="B273" s="15"/>
      <c r="C273" s="15"/>
      <c r="D273" s="28"/>
      <c r="E273" s="28"/>
      <c r="F273" s="28"/>
      <c r="G273" s="28"/>
      <c r="H273" s="28"/>
      <c r="I273" s="28"/>
      <c r="J273" s="28"/>
      <c r="K273" s="28"/>
      <c r="L273" s="28"/>
      <c r="M273" s="28"/>
      <c r="N273" s="28"/>
      <c r="O273" s="28"/>
      <c r="P273" s="28"/>
      <c r="Q273" s="28"/>
      <c r="R273" s="28"/>
      <c r="S273" s="28"/>
      <c r="T273" s="28"/>
      <c r="U273" s="28"/>
    </row>
    <row r="274" ht="15.75" customHeight="1">
      <c r="A274" s="15"/>
      <c r="B274" s="15"/>
      <c r="C274" s="15"/>
      <c r="D274" s="28"/>
      <c r="E274" s="28"/>
      <c r="F274" s="28"/>
      <c r="G274" s="28"/>
      <c r="H274" s="28"/>
      <c r="I274" s="28"/>
      <c r="J274" s="28"/>
      <c r="K274" s="28"/>
      <c r="L274" s="28"/>
      <c r="M274" s="28"/>
      <c r="N274" s="28"/>
      <c r="O274" s="28"/>
      <c r="P274" s="28"/>
      <c r="Q274" s="28"/>
      <c r="R274" s="28"/>
      <c r="S274" s="28"/>
      <c r="T274" s="28"/>
      <c r="U274" s="28"/>
    </row>
    <row r="275" ht="15.75" customHeight="1">
      <c r="A275" s="15"/>
      <c r="B275" s="15"/>
      <c r="C275" s="15"/>
      <c r="D275" s="28"/>
      <c r="E275" s="28"/>
      <c r="F275" s="28"/>
      <c r="G275" s="28"/>
      <c r="H275" s="28"/>
      <c r="I275" s="28"/>
      <c r="J275" s="28"/>
      <c r="K275" s="28"/>
      <c r="L275" s="28"/>
      <c r="M275" s="28"/>
      <c r="N275" s="28"/>
      <c r="O275" s="28"/>
      <c r="P275" s="28"/>
      <c r="Q275" s="28"/>
      <c r="R275" s="28"/>
      <c r="S275" s="28"/>
      <c r="T275" s="28"/>
      <c r="U275" s="28"/>
    </row>
    <row r="276" ht="15.75" customHeight="1">
      <c r="A276" s="15"/>
      <c r="B276" s="15"/>
      <c r="C276" s="15"/>
      <c r="D276" s="28"/>
      <c r="E276" s="28"/>
      <c r="F276" s="28"/>
      <c r="G276" s="28"/>
      <c r="H276" s="28"/>
      <c r="I276" s="28"/>
      <c r="J276" s="28"/>
      <c r="K276" s="28"/>
      <c r="L276" s="28"/>
      <c r="M276" s="28"/>
      <c r="N276" s="28"/>
      <c r="O276" s="28"/>
      <c r="P276" s="28"/>
      <c r="Q276" s="28"/>
      <c r="R276" s="28"/>
      <c r="S276" s="28"/>
      <c r="T276" s="28"/>
      <c r="U276" s="28"/>
    </row>
    <row r="277" ht="15.75" customHeight="1">
      <c r="A277" s="15"/>
      <c r="B277" s="15"/>
      <c r="C277" s="15"/>
      <c r="D277" s="28"/>
      <c r="E277" s="28"/>
      <c r="F277" s="28"/>
      <c r="G277" s="28"/>
      <c r="H277" s="28"/>
      <c r="I277" s="28"/>
      <c r="J277" s="28"/>
      <c r="K277" s="28"/>
      <c r="L277" s="28"/>
      <c r="M277" s="28"/>
      <c r="N277" s="28"/>
      <c r="O277" s="28"/>
      <c r="P277" s="28"/>
      <c r="Q277" s="28"/>
      <c r="R277" s="28"/>
      <c r="S277" s="28"/>
      <c r="T277" s="28"/>
      <c r="U277" s="28"/>
    </row>
    <row r="278" ht="15.75" customHeight="1">
      <c r="A278" s="15"/>
      <c r="B278" s="15"/>
      <c r="C278" s="15"/>
      <c r="D278" s="28"/>
      <c r="E278" s="28"/>
      <c r="F278" s="28"/>
      <c r="G278" s="28"/>
      <c r="H278" s="28"/>
      <c r="I278" s="28"/>
      <c r="J278" s="28"/>
      <c r="K278" s="28"/>
      <c r="L278" s="28"/>
      <c r="M278" s="28"/>
      <c r="N278" s="28"/>
      <c r="O278" s="28"/>
      <c r="P278" s="28"/>
      <c r="Q278" s="28"/>
      <c r="R278" s="28"/>
      <c r="S278" s="28"/>
      <c r="T278" s="28"/>
      <c r="U278" s="28"/>
    </row>
    <row r="279" ht="15.75" customHeight="1">
      <c r="A279" s="15"/>
      <c r="B279" s="15"/>
      <c r="C279" s="15"/>
      <c r="D279" s="28"/>
      <c r="E279" s="28"/>
      <c r="F279" s="28"/>
      <c r="G279" s="28"/>
      <c r="H279" s="28"/>
      <c r="I279" s="28"/>
      <c r="J279" s="28"/>
      <c r="K279" s="28"/>
      <c r="L279" s="28"/>
      <c r="M279" s="28"/>
      <c r="N279" s="28"/>
      <c r="O279" s="28"/>
      <c r="P279" s="28"/>
      <c r="Q279" s="28"/>
      <c r="R279" s="28"/>
      <c r="S279" s="28"/>
      <c r="T279" s="28"/>
      <c r="U279" s="28"/>
    </row>
    <row r="280" ht="15.75" customHeight="1">
      <c r="A280" s="15"/>
      <c r="B280" s="15"/>
      <c r="C280" s="15"/>
      <c r="D280" s="28"/>
      <c r="E280" s="28"/>
      <c r="F280" s="28"/>
      <c r="G280" s="28"/>
      <c r="H280" s="28"/>
      <c r="I280" s="28"/>
      <c r="J280" s="28"/>
      <c r="K280" s="28"/>
      <c r="L280" s="28"/>
      <c r="M280" s="28"/>
      <c r="N280" s="28"/>
      <c r="O280" s="28"/>
      <c r="P280" s="28"/>
      <c r="Q280" s="28"/>
      <c r="R280" s="28"/>
      <c r="S280" s="28"/>
      <c r="T280" s="28"/>
      <c r="U280" s="28"/>
    </row>
    <row r="281" ht="15.75" customHeight="1">
      <c r="A281" s="15"/>
      <c r="B281" s="15"/>
      <c r="C281" s="15"/>
      <c r="D281" s="28"/>
      <c r="E281" s="28"/>
      <c r="F281" s="28"/>
      <c r="G281" s="28"/>
      <c r="H281" s="28"/>
      <c r="I281" s="28"/>
      <c r="J281" s="28"/>
      <c r="K281" s="28"/>
      <c r="L281" s="28"/>
      <c r="M281" s="28"/>
      <c r="N281" s="28"/>
      <c r="O281" s="28"/>
      <c r="P281" s="28"/>
      <c r="Q281" s="28"/>
      <c r="R281" s="28"/>
      <c r="S281" s="28"/>
      <c r="T281" s="28"/>
      <c r="U281" s="28"/>
    </row>
    <row r="282" ht="15.75" customHeight="1">
      <c r="A282" s="15"/>
      <c r="B282" s="15"/>
      <c r="C282" s="15"/>
      <c r="D282" s="28"/>
      <c r="E282" s="28"/>
      <c r="F282" s="28"/>
      <c r="G282" s="28"/>
      <c r="H282" s="28"/>
      <c r="I282" s="28"/>
      <c r="J282" s="28"/>
      <c r="K282" s="28"/>
      <c r="L282" s="28"/>
      <c r="M282" s="28"/>
      <c r="N282" s="28"/>
      <c r="O282" s="28"/>
      <c r="P282" s="28"/>
      <c r="Q282" s="28"/>
      <c r="R282" s="28"/>
      <c r="S282" s="28"/>
      <c r="T282" s="28"/>
      <c r="U282" s="28"/>
    </row>
    <row r="283" ht="15.75" customHeight="1">
      <c r="A283" s="15"/>
      <c r="B283" s="15"/>
      <c r="C283" s="15"/>
      <c r="D283" s="28"/>
      <c r="E283" s="28"/>
      <c r="F283" s="28"/>
      <c r="G283" s="28"/>
      <c r="H283" s="28"/>
      <c r="I283" s="28"/>
      <c r="J283" s="28"/>
      <c r="K283" s="28"/>
      <c r="L283" s="28"/>
      <c r="M283" s="28"/>
      <c r="N283" s="28"/>
      <c r="O283" s="28"/>
      <c r="P283" s="28"/>
      <c r="Q283" s="28"/>
      <c r="R283" s="28"/>
      <c r="S283" s="28"/>
      <c r="T283" s="28"/>
      <c r="U283" s="28"/>
    </row>
    <row r="284" ht="15.75" customHeight="1">
      <c r="A284" s="15"/>
      <c r="B284" s="15"/>
      <c r="C284" s="15"/>
      <c r="D284" s="28"/>
      <c r="E284" s="28"/>
      <c r="F284" s="28"/>
      <c r="G284" s="28"/>
      <c r="H284" s="28"/>
      <c r="I284" s="28"/>
      <c r="J284" s="28"/>
      <c r="K284" s="28"/>
      <c r="L284" s="28"/>
      <c r="M284" s="28"/>
      <c r="N284" s="28"/>
      <c r="O284" s="28"/>
      <c r="P284" s="28"/>
      <c r="Q284" s="28"/>
      <c r="R284" s="28"/>
      <c r="S284" s="28"/>
      <c r="T284" s="28"/>
      <c r="U284" s="28"/>
    </row>
    <row r="285" ht="15.75" customHeight="1">
      <c r="A285" s="15"/>
      <c r="B285" s="15"/>
      <c r="C285" s="15"/>
      <c r="D285" s="28"/>
      <c r="E285" s="28"/>
      <c r="F285" s="28"/>
      <c r="G285" s="28"/>
      <c r="H285" s="28"/>
      <c r="I285" s="28"/>
      <c r="J285" s="28"/>
      <c r="K285" s="28"/>
      <c r="L285" s="28"/>
      <c r="M285" s="28"/>
      <c r="N285" s="28"/>
      <c r="O285" s="28"/>
      <c r="P285" s="28"/>
      <c r="Q285" s="28"/>
      <c r="R285" s="28"/>
      <c r="S285" s="28"/>
      <c r="T285" s="28"/>
      <c r="U285" s="28"/>
    </row>
    <row r="286" ht="15.75" customHeight="1">
      <c r="A286" s="15"/>
      <c r="B286" s="15"/>
      <c r="C286" s="15"/>
      <c r="D286" s="28"/>
      <c r="E286" s="28"/>
      <c r="F286" s="28"/>
      <c r="G286" s="28"/>
      <c r="H286" s="28"/>
      <c r="I286" s="28"/>
      <c r="J286" s="28"/>
      <c r="K286" s="28"/>
      <c r="L286" s="28"/>
      <c r="M286" s="28"/>
      <c r="N286" s="28"/>
      <c r="O286" s="28"/>
      <c r="P286" s="28"/>
      <c r="Q286" s="28"/>
      <c r="R286" s="28"/>
      <c r="S286" s="28"/>
      <c r="T286" s="28"/>
      <c r="U286" s="28"/>
    </row>
    <row r="287" ht="15.75" customHeight="1">
      <c r="A287" s="15"/>
      <c r="B287" s="15"/>
      <c r="C287" s="15"/>
      <c r="D287" s="28"/>
      <c r="E287" s="28"/>
      <c r="F287" s="28"/>
      <c r="G287" s="28"/>
      <c r="H287" s="28"/>
      <c r="I287" s="28"/>
      <c r="J287" s="28"/>
      <c r="K287" s="28"/>
      <c r="L287" s="28"/>
      <c r="M287" s="28"/>
      <c r="N287" s="28"/>
      <c r="O287" s="28"/>
      <c r="P287" s="28"/>
      <c r="Q287" s="28"/>
      <c r="R287" s="28"/>
      <c r="S287" s="28"/>
      <c r="T287" s="28"/>
      <c r="U287" s="28"/>
    </row>
    <row r="288" ht="15.75" customHeight="1">
      <c r="A288" s="15"/>
      <c r="B288" s="15"/>
      <c r="C288" s="15"/>
      <c r="D288" s="28"/>
      <c r="E288" s="28"/>
      <c r="F288" s="28"/>
      <c r="G288" s="28"/>
      <c r="H288" s="28"/>
      <c r="I288" s="28"/>
      <c r="J288" s="28"/>
      <c r="K288" s="28"/>
      <c r="L288" s="28"/>
      <c r="M288" s="28"/>
      <c r="N288" s="28"/>
      <c r="O288" s="28"/>
      <c r="P288" s="28"/>
      <c r="Q288" s="28"/>
      <c r="R288" s="28"/>
      <c r="S288" s="28"/>
      <c r="T288" s="28"/>
      <c r="U288" s="28"/>
    </row>
    <row r="289" ht="15.75" customHeight="1">
      <c r="A289" s="15"/>
      <c r="B289" s="15"/>
      <c r="C289" s="15"/>
      <c r="D289" s="28"/>
      <c r="E289" s="28"/>
      <c r="F289" s="28"/>
      <c r="G289" s="28"/>
      <c r="H289" s="28"/>
      <c r="I289" s="28"/>
      <c r="J289" s="28"/>
      <c r="K289" s="28"/>
      <c r="L289" s="28"/>
      <c r="M289" s="28"/>
      <c r="N289" s="28"/>
      <c r="O289" s="28"/>
      <c r="P289" s="28"/>
      <c r="Q289" s="28"/>
      <c r="R289" s="28"/>
      <c r="S289" s="28"/>
      <c r="T289" s="28"/>
      <c r="U289" s="28"/>
    </row>
    <row r="290" ht="15.75" customHeight="1">
      <c r="A290" s="15"/>
      <c r="B290" s="15"/>
      <c r="C290" s="15"/>
      <c r="D290" s="28"/>
      <c r="E290" s="28"/>
      <c r="F290" s="28"/>
      <c r="G290" s="28"/>
      <c r="H290" s="28"/>
      <c r="I290" s="28"/>
      <c r="J290" s="28"/>
      <c r="K290" s="28"/>
      <c r="L290" s="28"/>
      <c r="M290" s="28"/>
      <c r="N290" s="28"/>
      <c r="O290" s="28"/>
      <c r="P290" s="28"/>
      <c r="Q290" s="28"/>
      <c r="R290" s="28"/>
      <c r="S290" s="28"/>
      <c r="T290" s="28"/>
      <c r="U290" s="28"/>
    </row>
    <row r="291" ht="15.75" customHeight="1">
      <c r="A291" s="15"/>
      <c r="B291" s="15"/>
      <c r="C291" s="15"/>
      <c r="D291" s="28"/>
      <c r="E291" s="28"/>
      <c r="F291" s="28"/>
      <c r="G291" s="28"/>
      <c r="H291" s="28"/>
      <c r="I291" s="28"/>
      <c r="J291" s="28"/>
      <c r="K291" s="28"/>
      <c r="L291" s="28"/>
      <c r="M291" s="28"/>
      <c r="N291" s="28"/>
      <c r="O291" s="28"/>
      <c r="P291" s="28"/>
      <c r="Q291" s="28"/>
      <c r="R291" s="28"/>
      <c r="S291" s="28"/>
      <c r="T291" s="28"/>
      <c r="U291" s="28"/>
    </row>
    <row r="292" ht="15.75" customHeight="1">
      <c r="A292" s="15"/>
      <c r="B292" s="15"/>
      <c r="C292" s="15"/>
      <c r="D292" s="28"/>
      <c r="E292" s="28"/>
      <c r="F292" s="28"/>
      <c r="G292" s="28"/>
      <c r="H292" s="28"/>
      <c r="I292" s="28"/>
      <c r="J292" s="28"/>
      <c r="K292" s="28"/>
      <c r="L292" s="28"/>
      <c r="M292" s="28"/>
      <c r="N292" s="28"/>
      <c r="O292" s="28"/>
      <c r="P292" s="28"/>
      <c r="Q292" s="28"/>
      <c r="R292" s="28"/>
      <c r="S292" s="28"/>
      <c r="T292" s="28"/>
      <c r="U292" s="28"/>
    </row>
    <row r="293" ht="15.75" customHeight="1">
      <c r="A293" s="15"/>
      <c r="B293" s="15"/>
      <c r="C293" s="15"/>
      <c r="D293" s="28"/>
      <c r="E293" s="28"/>
      <c r="F293" s="28"/>
      <c r="G293" s="28"/>
      <c r="H293" s="28"/>
      <c r="I293" s="28"/>
      <c r="J293" s="28"/>
      <c r="K293" s="28"/>
      <c r="L293" s="28"/>
      <c r="M293" s="28"/>
      <c r="N293" s="28"/>
      <c r="O293" s="28"/>
      <c r="P293" s="28"/>
      <c r="Q293" s="28"/>
      <c r="R293" s="28"/>
      <c r="S293" s="28"/>
      <c r="T293" s="28"/>
      <c r="U293" s="28"/>
    </row>
    <row r="294" ht="15.75" customHeight="1">
      <c r="A294" s="15"/>
      <c r="B294" s="15"/>
      <c r="C294" s="15"/>
      <c r="D294" s="28"/>
      <c r="E294" s="28"/>
      <c r="F294" s="28"/>
      <c r="G294" s="28"/>
      <c r="H294" s="28"/>
      <c r="I294" s="28"/>
      <c r="J294" s="28"/>
      <c r="K294" s="28"/>
      <c r="L294" s="28"/>
      <c r="M294" s="28"/>
      <c r="N294" s="28"/>
      <c r="O294" s="28"/>
      <c r="P294" s="28"/>
      <c r="Q294" s="28"/>
      <c r="R294" s="28"/>
      <c r="S294" s="28"/>
      <c r="T294" s="28"/>
      <c r="U294" s="28"/>
    </row>
    <row r="295" ht="15.75" customHeight="1">
      <c r="A295" s="15"/>
      <c r="B295" s="15"/>
      <c r="C295" s="15"/>
      <c r="D295" s="28"/>
      <c r="E295" s="28"/>
      <c r="F295" s="28"/>
      <c r="G295" s="28"/>
      <c r="H295" s="28"/>
      <c r="I295" s="28"/>
      <c r="J295" s="28"/>
      <c r="K295" s="28"/>
      <c r="L295" s="28"/>
      <c r="M295" s="28"/>
      <c r="N295" s="28"/>
      <c r="O295" s="28"/>
      <c r="P295" s="28"/>
      <c r="Q295" s="28"/>
      <c r="R295" s="28"/>
      <c r="S295" s="28"/>
      <c r="T295" s="28"/>
      <c r="U295" s="28"/>
    </row>
    <row r="296" ht="15.75" customHeight="1">
      <c r="A296" s="15"/>
      <c r="B296" s="15"/>
      <c r="C296" s="15"/>
      <c r="D296" s="28"/>
      <c r="E296" s="28"/>
      <c r="F296" s="28"/>
      <c r="G296" s="28"/>
      <c r="H296" s="28"/>
      <c r="I296" s="28"/>
      <c r="J296" s="28"/>
      <c r="K296" s="28"/>
      <c r="L296" s="28"/>
      <c r="M296" s="28"/>
      <c r="N296" s="28"/>
      <c r="O296" s="28"/>
      <c r="P296" s="28"/>
      <c r="Q296" s="28"/>
      <c r="R296" s="28"/>
      <c r="S296" s="28"/>
      <c r="T296" s="28"/>
      <c r="U296" s="28"/>
    </row>
    <row r="297" ht="15.75" customHeight="1">
      <c r="A297" s="15"/>
      <c r="B297" s="15"/>
      <c r="C297" s="15"/>
      <c r="D297" s="28"/>
      <c r="E297" s="28"/>
      <c r="F297" s="28"/>
      <c r="G297" s="28"/>
      <c r="H297" s="28"/>
      <c r="I297" s="28"/>
      <c r="J297" s="28"/>
      <c r="K297" s="28"/>
      <c r="L297" s="28"/>
      <c r="M297" s="28"/>
      <c r="N297" s="28"/>
      <c r="O297" s="28"/>
      <c r="P297" s="28"/>
      <c r="Q297" s="28"/>
      <c r="R297" s="28"/>
      <c r="S297" s="28"/>
      <c r="T297" s="28"/>
      <c r="U297" s="28"/>
    </row>
    <row r="298" ht="15.75" customHeight="1">
      <c r="A298" s="15"/>
      <c r="B298" s="15"/>
      <c r="C298" s="15"/>
      <c r="D298" s="28"/>
      <c r="E298" s="28"/>
      <c r="F298" s="28"/>
      <c r="G298" s="28"/>
      <c r="H298" s="28"/>
      <c r="I298" s="28"/>
      <c r="J298" s="28"/>
      <c r="K298" s="28"/>
      <c r="L298" s="28"/>
      <c r="M298" s="28"/>
      <c r="N298" s="28"/>
      <c r="O298" s="28"/>
      <c r="P298" s="28"/>
      <c r="Q298" s="28"/>
      <c r="R298" s="28"/>
      <c r="S298" s="28"/>
      <c r="T298" s="28"/>
      <c r="U298" s="28"/>
    </row>
    <row r="299" ht="15.75" customHeight="1">
      <c r="A299" s="15"/>
      <c r="B299" s="15"/>
      <c r="C299" s="15"/>
      <c r="D299" s="28"/>
      <c r="E299" s="28"/>
      <c r="F299" s="28"/>
      <c r="G299" s="28"/>
      <c r="H299" s="28"/>
      <c r="I299" s="28"/>
      <c r="J299" s="28"/>
      <c r="K299" s="28"/>
      <c r="L299" s="28"/>
      <c r="M299" s="28"/>
      <c r="N299" s="28"/>
      <c r="O299" s="28"/>
      <c r="P299" s="28"/>
      <c r="Q299" s="28"/>
      <c r="R299" s="28"/>
      <c r="S299" s="28"/>
      <c r="T299" s="28"/>
      <c r="U299" s="28"/>
    </row>
    <row r="300" ht="15.75" customHeight="1">
      <c r="A300" s="15"/>
      <c r="B300" s="15"/>
      <c r="C300" s="15"/>
      <c r="D300" s="28"/>
      <c r="E300" s="28"/>
      <c r="F300" s="28"/>
      <c r="G300" s="28"/>
      <c r="H300" s="28"/>
      <c r="I300" s="28"/>
      <c r="J300" s="28"/>
      <c r="K300" s="28"/>
      <c r="L300" s="28"/>
      <c r="M300" s="28"/>
      <c r="N300" s="28"/>
      <c r="O300" s="28"/>
      <c r="P300" s="28"/>
      <c r="Q300" s="28"/>
      <c r="R300" s="28"/>
      <c r="S300" s="28"/>
      <c r="T300" s="28"/>
      <c r="U300" s="28"/>
    </row>
    <row r="301" ht="15.75" customHeight="1">
      <c r="A301" s="15"/>
      <c r="B301" s="15"/>
      <c r="C301" s="15"/>
      <c r="D301" s="28"/>
      <c r="E301" s="28"/>
      <c r="F301" s="28"/>
      <c r="G301" s="28"/>
      <c r="H301" s="28"/>
      <c r="I301" s="28"/>
      <c r="J301" s="28"/>
      <c r="K301" s="28"/>
      <c r="L301" s="28"/>
      <c r="M301" s="28"/>
      <c r="N301" s="28"/>
      <c r="O301" s="28"/>
      <c r="P301" s="28"/>
      <c r="Q301" s="28"/>
      <c r="R301" s="28"/>
      <c r="S301" s="28"/>
      <c r="T301" s="28"/>
      <c r="U301" s="28"/>
    </row>
    <row r="302" ht="15.75" customHeight="1">
      <c r="A302" s="15"/>
      <c r="B302" s="15"/>
      <c r="C302" s="15"/>
      <c r="D302" s="28"/>
      <c r="E302" s="28"/>
      <c r="F302" s="28"/>
      <c r="G302" s="28"/>
      <c r="H302" s="28"/>
      <c r="I302" s="28"/>
      <c r="J302" s="28"/>
      <c r="K302" s="28"/>
      <c r="L302" s="28"/>
      <c r="M302" s="28"/>
      <c r="N302" s="28"/>
      <c r="O302" s="28"/>
      <c r="P302" s="28"/>
      <c r="Q302" s="28"/>
      <c r="R302" s="28"/>
      <c r="S302" s="28"/>
      <c r="T302" s="28"/>
      <c r="U302" s="28"/>
    </row>
    <row r="303" ht="15.75" customHeight="1">
      <c r="A303" s="15"/>
      <c r="B303" s="15"/>
      <c r="C303" s="15"/>
      <c r="D303" s="28"/>
      <c r="E303" s="28"/>
      <c r="F303" s="28"/>
      <c r="G303" s="28"/>
      <c r="H303" s="28"/>
      <c r="I303" s="28"/>
      <c r="J303" s="28"/>
      <c r="K303" s="28"/>
      <c r="L303" s="28"/>
      <c r="M303" s="28"/>
      <c r="N303" s="28"/>
      <c r="O303" s="28"/>
      <c r="P303" s="28"/>
      <c r="Q303" s="28"/>
      <c r="R303" s="28"/>
      <c r="S303" s="28"/>
      <c r="T303" s="28"/>
      <c r="U303" s="28"/>
    </row>
    <row r="304" ht="15.75" customHeight="1">
      <c r="A304" s="15"/>
      <c r="B304" s="15"/>
      <c r="C304" s="15"/>
      <c r="D304" s="28"/>
      <c r="E304" s="28"/>
      <c r="F304" s="28"/>
      <c r="G304" s="28"/>
      <c r="H304" s="28"/>
      <c r="I304" s="28"/>
      <c r="J304" s="28"/>
      <c r="K304" s="28"/>
      <c r="L304" s="28"/>
      <c r="M304" s="28"/>
      <c r="N304" s="28"/>
      <c r="O304" s="28"/>
      <c r="P304" s="28"/>
      <c r="Q304" s="28"/>
      <c r="R304" s="28"/>
      <c r="S304" s="28"/>
      <c r="T304" s="28"/>
      <c r="U304" s="28"/>
    </row>
    <row r="305" ht="15.75" customHeight="1">
      <c r="A305" s="15"/>
      <c r="B305" s="15"/>
      <c r="C305" s="15"/>
      <c r="D305" s="28"/>
      <c r="E305" s="28"/>
      <c r="F305" s="28"/>
      <c r="G305" s="28"/>
      <c r="H305" s="28"/>
      <c r="I305" s="28"/>
      <c r="J305" s="28"/>
      <c r="K305" s="28"/>
      <c r="L305" s="28"/>
      <c r="M305" s="28"/>
      <c r="N305" s="28"/>
      <c r="O305" s="28"/>
      <c r="P305" s="28"/>
      <c r="Q305" s="28"/>
      <c r="R305" s="28"/>
      <c r="S305" s="28"/>
      <c r="T305" s="28"/>
      <c r="U305" s="28"/>
    </row>
    <row r="306" ht="15.75" customHeight="1">
      <c r="A306" s="15"/>
      <c r="B306" s="15"/>
      <c r="C306" s="15"/>
      <c r="D306" s="28"/>
      <c r="E306" s="28"/>
      <c r="F306" s="28"/>
      <c r="G306" s="28"/>
      <c r="H306" s="28"/>
      <c r="I306" s="28"/>
      <c r="J306" s="28"/>
      <c r="K306" s="28"/>
      <c r="L306" s="28"/>
      <c r="M306" s="28"/>
      <c r="N306" s="28"/>
      <c r="O306" s="28"/>
      <c r="P306" s="28"/>
      <c r="Q306" s="28"/>
      <c r="R306" s="28"/>
      <c r="S306" s="28"/>
      <c r="T306" s="28"/>
      <c r="U306" s="28"/>
    </row>
    <row r="307" ht="15.75" customHeight="1">
      <c r="A307" s="15"/>
      <c r="B307" s="15"/>
      <c r="C307" s="15"/>
      <c r="D307" s="28"/>
      <c r="E307" s="28"/>
      <c r="F307" s="28"/>
      <c r="G307" s="28"/>
      <c r="H307" s="28"/>
      <c r="I307" s="28"/>
      <c r="J307" s="28"/>
      <c r="K307" s="28"/>
      <c r="L307" s="28"/>
      <c r="M307" s="28"/>
      <c r="N307" s="28"/>
      <c r="O307" s="28"/>
      <c r="P307" s="28"/>
      <c r="Q307" s="28"/>
      <c r="R307" s="28"/>
      <c r="S307" s="28"/>
      <c r="T307" s="28"/>
      <c r="U307" s="28"/>
    </row>
    <row r="308" ht="15.75" customHeight="1">
      <c r="A308" s="15"/>
      <c r="B308" s="15"/>
      <c r="C308" s="15"/>
      <c r="D308" s="28"/>
      <c r="E308" s="28"/>
      <c r="F308" s="28"/>
      <c r="G308" s="28"/>
      <c r="H308" s="28"/>
      <c r="I308" s="28"/>
      <c r="J308" s="28"/>
      <c r="K308" s="28"/>
      <c r="L308" s="28"/>
      <c r="M308" s="28"/>
      <c r="N308" s="28"/>
      <c r="O308" s="28"/>
      <c r="P308" s="28"/>
      <c r="Q308" s="28"/>
      <c r="R308" s="28"/>
      <c r="S308" s="28"/>
      <c r="T308" s="28"/>
      <c r="U308" s="28"/>
    </row>
    <row r="309" ht="15.75" customHeight="1">
      <c r="A309" s="15"/>
      <c r="B309" s="15"/>
      <c r="C309" s="15"/>
      <c r="D309" s="28"/>
      <c r="E309" s="28"/>
      <c r="F309" s="28"/>
      <c r="G309" s="28"/>
      <c r="H309" s="28"/>
      <c r="I309" s="28"/>
      <c r="J309" s="28"/>
      <c r="K309" s="28"/>
      <c r="L309" s="28"/>
      <c r="M309" s="28"/>
      <c r="N309" s="28"/>
      <c r="O309" s="28"/>
      <c r="P309" s="28"/>
      <c r="Q309" s="28"/>
      <c r="R309" s="28"/>
      <c r="S309" s="28"/>
      <c r="T309" s="28"/>
      <c r="U309" s="28"/>
    </row>
    <row r="310" ht="15.75" customHeight="1">
      <c r="A310" s="15"/>
      <c r="B310" s="15"/>
      <c r="C310" s="15"/>
      <c r="D310" s="28"/>
      <c r="E310" s="28"/>
      <c r="F310" s="28"/>
      <c r="G310" s="28"/>
      <c r="H310" s="28"/>
      <c r="I310" s="28"/>
      <c r="J310" s="28"/>
      <c r="K310" s="28"/>
      <c r="L310" s="28"/>
      <c r="M310" s="28"/>
      <c r="N310" s="28"/>
      <c r="O310" s="28"/>
      <c r="P310" s="28"/>
      <c r="Q310" s="28"/>
      <c r="R310" s="28"/>
      <c r="S310" s="28"/>
      <c r="T310" s="28"/>
      <c r="U310" s="28"/>
    </row>
    <row r="311" ht="15.75" customHeight="1">
      <c r="A311" s="15"/>
      <c r="B311" s="15"/>
      <c r="C311" s="15"/>
      <c r="D311" s="28"/>
      <c r="E311" s="28"/>
      <c r="F311" s="28"/>
      <c r="G311" s="28"/>
      <c r="H311" s="28"/>
      <c r="I311" s="28"/>
      <c r="J311" s="28"/>
      <c r="K311" s="28"/>
      <c r="L311" s="28"/>
      <c r="M311" s="28"/>
      <c r="N311" s="28"/>
      <c r="O311" s="28"/>
      <c r="P311" s="28"/>
      <c r="Q311" s="28"/>
      <c r="R311" s="28"/>
      <c r="S311" s="28"/>
      <c r="T311" s="28"/>
      <c r="U311" s="28"/>
    </row>
    <row r="312" ht="15.75" customHeight="1">
      <c r="A312" s="15"/>
      <c r="B312" s="15"/>
      <c r="C312" s="15"/>
      <c r="D312" s="28"/>
      <c r="E312" s="28"/>
      <c r="F312" s="28"/>
      <c r="G312" s="28"/>
      <c r="H312" s="28"/>
      <c r="I312" s="28"/>
      <c r="J312" s="28"/>
      <c r="K312" s="28"/>
      <c r="L312" s="28"/>
      <c r="M312" s="28"/>
      <c r="N312" s="28"/>
      <c r="O312" s="28"/>
      <c r="P312" s="28"/>
      <c r="Q312" s="28"/>
      <c r="R312" s="28"/>
      <c r="S312" s="28"/>
      <c r="T312" s="28"/>
      <c r="U312" s="28"/>
    </row>
    <row r="313" ht="15.75" customHeight="1">
      <c r="A313" s="15"/>
      <c r="B313" s="15"/>
      <c r="C313" s="15"/>
      <c r="D313" s="28"/>
      <c r="E313" s="28"/>
      <c r="F313" s="28"/>
      <c r="G313" s="28"/>
      <c r="H313" s="28"/>
      <c r="I313" s="28"/>
      <c r="J313" s="28"/>
      <c r="K313" s="28"/>
      <c r="L313" s="28"/>
      <c r="M313" s="28"/>
      <c r="N313" s="28"/>
      <c r="O313" s="28"/>
      <c r="P313" s="28"/>
      <c r="Q313" s="28"/>
      <c r="R313" s="28"/>
      <c r="S313" s="28"/>
      <c r="T313" s="28"/>
      <c r="U313" s="28"/>
    </row>
    <row r="314" ht="15.75" customHeight="1">
      <c r="A314" s="15"/>
      <c r="B314" s="15"/>
      <c r="C314" s="15"/>
      <c r="D314" s="28"/>
      <c r="E314" s="28"/>
      <c r="F314" s="28"/>
      <c r="G314" s="28"/>
      <c r="H314" s="28"/>
      <c r="I314" s="28"/>
      <c r="J314" s="28"/>
      <c r="K314" s="28"/>
      <c r="L314" s="28"/>
      <c r="M314" s="28"/>
      <c r="N314" s="28"/>
      <c r="O314" s="28"/>
      <c r="P314" s="28"/>
      <c r="Q314" s="28"/>
      <c r="R314" s="28"/>
      <c r="S314" s="28"/>
      <c r="T314" s="28"/>
      <c r="U314" s="28"/>
    </row>
    <row r="315" ht="15.75" customHeight="1">
      <c r="A315" s="15"/>
      <c r="B315" s="15"/>
      <c r="C315" s="15"/>
      <c r="D315" s="28"/>
      <c r="E315" s="28"/>
      <c r="F315" s="28"/>
      <c r="G315" s="28"/>
      <c r="H315" s="28"/>
      <c r="I315" s="28"/>
      <c r="J315" s="28"/>
      <c r="K315" s="28"/>
      <c r="L315" s="28"/>
      <c r="M315" s="28"/>
      <c r="N315" s="28"/>
      <c r="O315" s="28"/>
      <c r="P315" s="28"/>
      <c r="Q315" s="28"/>
      <c r="R315" s="28"/>
      <c r="S315" s="28"/>
      <c r="T315" s="28"/>
      <c r="U315" s="28"/>
    </row>
    <row r="316" ht="15.75" customHeight="1">
      <c r="A316" s="15"/>
      <c r="B316" s="15"/>
      <c r="C316" s="15"/>
      <c r="D316" s="28"/>
      <c r="E316" s="28"/>
      <c r="F316" s="28"/>
      <c r="G316" s="28"/>
      <c r="H316" s="28"/>
      <c r="I316" s="28"/>
      <c r="J316" s="28"/>
      <c r="K316" s="28"/>
      <c r="L316" s="28"/>
      <c r="M316" s="28"/>
      <c r="N316" s="28"/>
      <c r="O316" s="28"/>
      <c r="P316" s="28"/>
      <c r="Q316" s="28"/>
      <c r="R316" s="28"/>
      <c r="S316" s="28"/>
      <c r="T316" s="28"/>
      <c r="U316" s="28"/>
    </row>
    <row r="317" ht="15.75" customHeight="1">
      <c r="A317" s="15"/>
      <c r="B317" s="15"/>
      <c r="C317" s="15"/>
      <c r="D317" s="28"/>
      <c r="E317" s="28"/>
      <c r="F317" s="28"/>
      <c r="G317" s="28"/>
      <c r="H317" s="28"/>
      <c r="I317" s="28"/>
      <c r="J317" s="28"/>
      <c r="K317" s="28"/>
      <c r="L317" s="28"/>
      <c r="M317" s="28"/>
      <c r="N317" s="28"/>
      <c r="O317" s="28"/>
      <c r="P317" s="28"/>
      <c r="Q317" s="28"/>
      <c r="R317" s="28"/>
      <c r="S317" s="28"/>
      <c r="T317" s="28"/>
      <c r="U317" s="28"/>
    </row>
    <row r="318" ht="15.75" customHeight="1">
      <c r="A318" s="15"/>
      <c r="B318" s="15"/>
      <c r="C318" s="15"/>
      <c r="D318" s="28"/>
      <c r="E318" s="28"/>
      <c r="F318" s="28"/>
      <c r="G318" s="28"/>
      <c r="H318" s="28"/>
      <c r="I318" s="28"/>
      <c r="J318" s="28"/>
      <c r="K318" s="28"/>
      <c r="L318" s="28"/>
      <c r="M318" s="28"/>
      <c r="N318" s="28"/>
      <c r="O318" s="28"/>
      <c r="P318" s="28"/>
      <c r="Q318" s="28"/>
      <c r="R318" s="28"/>
      <c r="S318" s="28"/>
      <c r="T318" s="28"/>
      <c r="U318" s="28"/>
    </row>
    <row r="319" ht="15.75" customHeight="1">
      <c r="A319" s="15"/>
      <c r="B319" s="15"/>
      <c r="C319" s="15"/>
      <c r="D319" s="28"/>
      <c r="E319" s="28"/>
      <c r="F319" s="28"/>
      <c r="G319" s="28"/>
      <c r="H319" s="28"/>
      <c r="I319" s="28"/>
      <c r="J319" s="28"/>
      <c r="K319" s="28"/>
      <c r="L319" s="28"/>
      <c r="M319" s="28"/>
      <c r="N319" s="28"/>
      <c r="O319" s="28"/>
      <c r="P319" s="28"/>
      <c r="Q319" s="28"/>
      <c r="R319" s="28"/>
      <c r="S319" s="28"/>
      <c r="T319" s="28"/>
      <c r="U319" s="28"/>
    </row>
    <row r="320" ht="15.75" customHeight="1">
      <c r="A320" s="15"/>
      <c r="B320" s="15"/>
      <c r="C320" s="15"/>
      <c r="D320" s="28"/>
      <c r="E320" s="28"/>
      <c r="F320" s="28"/>
      <c r="G320" s="28"/>
      <c r="H320" s="28"/>
      <c r="I320" s="28"/>
      <c r="J320" s="28"/>
      <c r="K320" s="28"/>
      <c r="L320" s="28"/>
      <c r="M320" s="28"/>
      <c r="N320" s="28"/>
      <c r="O320" s="28"/>
      <c r="P320" s="28"/>
      <c r="Q320" s="28"/>
      <c r="R320" s="28"/>
      <c r="S320" s="28"/>
      <c r="T320" s="28"/>
      <c r="U320" s="28"/>
    </row>
    <row r="321" ht="15.75" customHeight="1">
      <c r="A321" s="15"/>
      <c r="B321" s="15"/>
      <c r="C321" s="15"/>
      <c r="D321" s="28"/>
      <c r="E321" s="28"/>
      <c r="F321" s="28"/>
      <c r="G321" s="28"/>
      <c r="H321" s="28"/>
      <c r="I321" s="28"/>
      <c r="J321" s="28"/>
      <c r="K321" s="28"/>
      <c r="L321" s="28"/>
      <c r="M321" s="28"/>
      <c r="N321" s="28"/>
      <c r="O321" s="28"/>
      <c r="P321" s="28"/>
      <c r="Q321" s="28"/>
      <c r="R321" s="28"/>
      <c r="S321" s="28"/>
      <c r="T321" s="28"/>
      <c r="U321" s="28"/>
    </row>
    <row r="322" ht="15.75" customHeight="1">
      <c r="A322" s="15"/>
      <c r="B322" s="15"/>
      <c r="C322" s="28"/>
      <c r="D322" s="28"/>
      <c r="E322" s="28"/>
      <c r="F322" s="28"/>
      <c r="G322" s="28"/>
      <c r="H322" s="28"/>
      <c r="I322" s="28"/>
      <c r="J322" s="28"/>
      <c r="K322" s="28"/>
      <c r="L322" s="28"/>
      <c r="M322" s="28"/>
      <c r="N322" s="28"/>
      <c r="O322" s="28"/>
      <c r="P322" s="28"/>
      <c r="Q322" s="28"/>
      <c r="R322" s="28"/>
      <c r="S322" s="28"/>
      <c r="T322" s="28"/>
      <c r="U322" s="28"/>
    </row>
    <row r="323" ht="15.75" customHeight="1">
      <c r="A323" s="15"/>
      <c r="B323" s="15"/>
      <c r="C323" s="28"/>
      <c r="D323" s="28"/>
      <c r="E323" s="28"/>
      <c r="F323" s="28"/>
      <c r="G323" s="28"/>
      <c r="H323" s="28"/>
      <c r="I323" s="28"/>
      <c r="J323" s="28"/>
      <c r="K323" s="28"/>
      <c r="L323" s="28"/>
      <c r="M323" s="28"/>
      <c r="N323" s="28"/>
      <c r="O323" s="28"/>
      <c r="P323" s="28"/>
      <c r="Q323" s="28"/>
      <c r="R323" s="28"/>
      <c r="S323" s="28"/>
      <c r="T323" s="28"/>
      <c r="U323" s="28"/>
    </row>
    <row r="324" ht="15.75" customHeight="1">
      <c r="A324" s="15"/>
      <c r="B324" s="15"/>
      <c r="C324" s="28"/>
      <c r="D324" s="28"/>
      <c r="E324" s="28"/>
      <c r="F324" s="28"/>
      <c r="G324" s="28"/>
      <c r="H324" s="28"/>
      <c r="I324" s="28"/>
      <c r="J324" s="28"/>
      <c r="K324" s="28"/>
      <c r="L324" s="28"/>
      <c r="M324" s="28"/>
      <c r="N324" s="28"/>
      <c r="O324" s="28"/>
      <c r="P324" s="28"/>
      <c r="Q324" s="28"/>
      <c r="R324" s="28"/>
      <c r="S324" s="28"/>
      <c r="T324" s="28"/>
      <c r="U324" s="28"/>
    </row>
    <row r="325" ht="15.75" customHeight="1">
      <c r="A325" s="15"/>
      <c r="B325" s="15"/>
      <c r="C325" s="28"/>
      <c r="D325" s="28"/>
      <c r="E325" s="28"/>
      <c r="F325" s="28"/>
      <c r="G325" s="28"/>
      <c r="H325" s="28"/>
      <c r="I325" s="28"/>
      <c r="J325" s="28"/>
      <c r="K325" s="28"/>
      <c r="L325" s="28"/>
      <c r="M325" s="28"/>
      <c r="N325" s="28"/>
      <c r="O325" s="28"/>
      <c r="P325" s="28"/>
      <c r="Q325" s="28"/>
      <c r="R325" s="28"/>
      <c r="S325" s="28"/>
      <c r="T325" s="28"/>
      <c r="U325" s="28"/>
    </row>
    <row r="326" ht="15.75" customHeight="1">
      <c r="A326" s="15"/>
      <c r="B326" s="15"/>
      <c r="C326" s="28"/>
      <c r="D326" s="28"/>
      <c r="E326" s="28"/>
      <c r="F326" s="28"/>
      <c r="G326" s="28"/>
      <c r="H326" s="28"/>
      <c r="I326" s="28"/>
      <c r="J326" s="28"/>
      <c r="K326" s="28"/>
      <c r="L326" s="28"/>
      <c r="M326" s="28"/>
      <c r="N326" s="28"/>
      <c r="O326" s="28"/>
      <c r="P326" s="28"/>
      <c r="Q326" s="28"/>
      <c r="R326" s="28"/>
      <c r="S326" s="28"/>
      <c r="T326" s="28"/>
      <c r="U326" s="28"/>
    </row>
    <row r="327" ht="15.75" customHeight="1">
      <c r="A327" s="15"/>
      <c r="B327" s="15"/>
      <c r="C327" s="28"/>
      <c r="D327" s="28"/>
      <c r="E327" s="28"/>
      <c r="F327" s="28"/>
      <c r="G327" s="28"/>
      <c r="H327" s="28"/>
      <c r="I327" s="28"/>
      <c r="J327" s="28"/>
      <c r="K327" s="28"/>
      <c r="L327" s="28"/>
      <c r="M327" s="28"/>
      <c r="N327" s="28"/>
      <c r="O327" s="28"/>
      <c r="P327" s="28"/>
      <c r="Q327" s="28"/>
      <c r="R327" s="28"/>
      <c r="S327" s="28"/>
      <c r="T327" s="28"/>
      <c r="U327" s="28"/>
    </row>
    <row r="328" ht="15.75" customHeight="1">
      <c r="A328" s="15"/>
      <c r="B328" s="15"/>
      <c r="C328" s="28"/>
      <c r="D328" s="28"/>
      <c r="E328" s="28"/>
      <c r="F328" s="28"/>
      <c r="G328" s="28"/>
      <c r="H328" s="28"/>
      <c r="I328" s="28"/>
      <c r="J328" s="28"/>
      <c r="K328" s="28"/>
      <c r="L328" s="28"/>
      <c r="M328" s="28"/>
      <c r="N328" s="28"/>
      <c r="O328" s="28"/>
      <c r="P328" s="28"/>
      <c r="Q328" s="28"/>
      <c r="R328" s="28"/>
      <c r="S328" s="28"/>
      <c r="T328" s="28"/>
      <c r="U328" s="28"/>
    </row>
    <row r="329" ht="15.75" customHeight="1">
      <c r="A329" s="15"/>
      <c r="B329" s="15"/>
      <c r="C329" s="28"/>
      <c r="D329" s="28"/>
      <c r="E329" s="28"/>
      <c r="F329" s="28"/>
      <c r="G329" s="28"/>
      <c r="H329" s="28"/>
      <c r="I329" s="28"/>
      <c r="J329" s="28"/>
      <c r="K329" s="28"/>
      <c r="L329" s="28"/>
      <c r="M329" s="28"/>
      <c r="N329" s="28"/>
      <c r="O329" s="28"/>
      <c r="P329" s="28"/>
      <c r="Q329" s="28"/>
      <c r="R329" s="28"/>
      <c r="S329" s="28"/>
      <c r="T329" s="28"/>
      <c r="U329" s="28"/>
    </row>
    <row r="330" ht="15.75" customHeight="1">
      <c r="A330" s="15"/>
      <c r="B330" s="15"/>
      <c r="C330" s="28"/>
      <c r="D330" s="28"/>
      <c r="E330" s="28"/>
      <c r="F330" s="28"/>
      <c r="G330" s="28"/>
      <c r="H330" s="28"/>
      <c r="I330" s="28"/>
      <c r="J330" s="28"/>
      <c r="K330" s="28"/>
      <c r="L330" s="28"/>
      <c r="M330" s="28"/>
      <c r="N330" s="28"/>
      <c r="O330" s="28"/>
      <c r="P330" s="28"/>
      <c r="Q330" s="28"/>
      <c r="R330" s="28"/>
      <c r="S330" s="28"/>
      <c r="T330" s="28"/>
      <c r="U330" s="28"/>
    </row>
    <row r="331" ht="15.75" customHeight="1">
      <c r="A331" s="15"/>
      <c r="B331" s="15"/>
      <c r="C331" s="28"/>
      <c r="D331" s="28"/>
      <c r="E331" s="28"/>
      <c r="F331" s="28"/>
      <c r="G331" s="28"/>
      <c r="H331" s="28"/>
      <c r="I331" s="28"/>
      <c r="J331" s="28"/>
      <c r="K331" s="28"/>
      <c r="L331" s="28"/>
      <c r="M331" s="28"/>
      <c r="N331" s="28"/>
      <c r="O331" s="28"/>
      <c r="P331" s="28"/>
      <c r="Q331" s="28"/>
      <c r="R331" s="28"/>
      <c r="S331" s="28"/>
      <c r="T331" s="28"/>
      <c r="U331" s="28"/>
    </row>
    <row r="332" ht="15.75" customHeight="1">
      <c r="A332" s="15"/>
      <c r="B332" s="15"/>
      <c r="C332" s="28"/>
      <c r="D332" s="28"/>
      <c r="E332" s="28"/>
      <c r="F332" s="28"/>
      <c r="G332" s="28"/>
      <c r="H332" s="28"/>
      <c r="I332" s="28"/>
      <c r="J332" s="28"/>
      <c r="K332" s="28"/>
      <c r="L332" s="28"/>
      <c r="M332" s="28"/>
      <c r="N332" s="28"/>
      <c r="O332" s="28"/>
      <c r="P332" s="28"/>
      <c r="Q332" s="28"/>
      <c r="R332" s="28"/>
      <c r="S332" s="28"/>
      <c r="T332" s="28"/>
      <c r="U332" s="28"/>
    </row>
    <row r="333" ht="15.75" customHeight="1">
      <c r="A333" s="15"/>
      <c r="B333" s="15"/>
      <c r="C333" s="28"/>
      <c r="D333" s="28"/>
      <c r="E333" s="28"/>
      <c r="F333" s="28"/>
      <c r="G333" s="28"/>
      <c r="H333" s="28"/>
      <c r="I333" s="28"/>
      <c r="J333" s="28"/>
      <c r="K333" s="28"/>
      <c r="L333" s="28"/>
      <c r="M333" s="28"/>
      <c r="N333" s="28"/>
      <c r="O333" s="28"/>
      <c r="P333" s="28"/>
      <c r="Q333" s="28"/>
      <c r="R333" s="28"/>
      <c r="S333" s="28"/>
      <c r="T333" s="28"/>
      <c r="U333" s="28"/>
    </row>
    <row r="334" ht="15.75" customHeight="1">
      <c r="A334" s="15"/>
      <c r="B334" s="15"/>
      <c r="C334" s="28"/>
      <c r="D334" s="28"/>
      <c r="E334" s="28"/>
      <c r="F334" s="28"/>
      <c r="G334" s="28"/>
      <c r="H334" s="28"/>
      <c r="I334" s="28"/>
      <c r="J334" s="28"/>
      <c r="K334" s="28"/>
      <c r="L334" s="28"/>
      <c r="M334" s="28"/>
      <c r="N334" s="28"/>
      <c r="O334" s="28"/>
      <c r="P334" s="28"/>
      <c r="Q334" s="28"/>
      <c r="R334" s="28"/>
      <c r="S334" s="28"/>
      <c r="T334" s="28"/>
      <c r="U334" s="28"/>
    </row>
    <row r="335" ht="15.75" customHeight="1">
      <c r="A335" s="15"/>
      <c r="B335" s="15"/>
      <c r="C335" s="28"/>
      <c r="D335" s="28"/>
      <c r="E335" s="28"/>
      <c r="F335" s="28"/>
      <c r="G335" s="28"/>
      <c r="H335" s="28"/>
      <c r="I335" s="28"/>
      <c r="J335" s="28"/>
      <c r="K335" s="28"/>
      <c r="L335" s="28"/>
      <c r="M335" s="28"/>
      <c r="N335" s="28"/>
      <c r="O335" s="28"/>
      <c r="P335" s="28"/>
      <c r="Q335" s="28"/>
      <c r="R335" s="28"/>
      <c r="S335" s="28"/>
      <c r="T335" s="28"/>
      <c r="U335" s="28"/>
    </row>
    <row r="336" ht="15.75" customHeight="1">
      <c r="A336" s="15"/>
      <c r="B336" s="15"/>
      <c r="C336" s="28"/>
      <c r="D336" s="28"/>
      <c r="E336" s="28"/>
      <c r="F336" s="28"/>
      <c r="G336" s="28"/>
      <c r="H336" s="28"/>
      <c r="I336" s="28"/>
      <c r="J336" s="28"/>
      <c r="K336" s="28"/>
      <c r="L336" s="28"/>
      <c r="M336" s="28"/>
      <c r="N336" s="28"/>
      <c r="O336" s="28"/>
      <c r="P336" s="28"/>
      <c r="Q336" s="28"/>
      <c r="R336" s="28"/>
      <c r="S336" s="28"/>
      <c r="T336" s="28"/>
      <c r="U336" s="28"/>
    </row>
    <row r="337" ht="15.75" customHeight="1">
      <c r="A337" s="15"/>
      <c r="B337" s="15"/>
      <c r="C337" s="28"/>
      <c r="D337" s="28"/>
      <c r="E337" s="28"/>
      <c r="F337" s="28"/>
      <c r="G337" s="28"/>
      <c r="H337" s="28"/>
      <c r="I337" s="28"/>
      <c r="J337" s="28"/>
      <c r="K337" s="28"/>
      <c r="L337" s="28"/>
      <c r="M337" s="28"/>
      <c r="N337" s="28"/>
      <c r="O337" s="28"/>
      <c r="P337" s="28"/>
      <c r="Q337" s="28"/>
      <c r="R337" s="28"/>
      <c r="S337" s="28"/>
      <c r="T337" s="28"/>
      <c r="U337" s="28"/>
    </row>
    <row r="338" ht="15.75" customHeight="1">
      <c r="A338" s="15"/>
      <c r="B338" s="15"/>
      <c r="C338" s="28"/>
      <c r="D338" s="28"/>
      <c r="E338" s="28"/>
      <c r="F338" s="28"/>
      <c r="G338" s="28"/>
      <c r="H338" s="28"/>
      <c r="I338" s="28"/>
      <c r="J338" s="28"/>
      <c r="K338" s="28"/>
      <c r="L338" s="28"/>
      <c r="M338" s="28"/>
      <c r="N338" s="28"/>
      <c r="O338" s="28"/>
      <c r="P338" s="28"/>
      <c r="Q338" s="28"/>
      <c r="R338" s="28"/>
      <c r="S338" s="28"/>
      <c r="T338" s="28"/>
      <c r="U338" s="28"/>
    </row>
    <row r="339" ht="15.75" customHeight="1">
      <c r="A339" s="15"/>
      <c r="B339" s="15"/>
      <c r="C339" s="28"/>
      <c r="D339" s="28"/>
      <c r="E339" s="28"/>
      <c r="F339" s="28"/>
      <c r="G339" s="28"/>
      <c r="H339" s="28"/>
      <c r="I339" s="28"/>
      <c r="J339" s="28"/>
      <c r="K339" s="28"/>
      <c r="L339" s="28"/>
      <c r="M339" s="28"/>
      <c r="N339" s="28"/>
      <c r="O339" s="28"/>
      <c r="P339" s="28"/>
      <c r="Q339" s="28"/>
      <c r="R339" s="28"/>
      <c r="S339" s="28"/>
      <c r="T339" s="28"/>
      <c r="U339" s="28"/>
    </row>
    <row r="340" ht="15.75" customHeight="1">
      <c r="A340" s="15"/>
      <c r="B340" s="15"/>
      <c r="C340" s="28"/>
      <c r="D340" s="28"/>
      <c r="E340" s="28"/>
      <c r="F340" s="28"/>
      <c r="G340" s="28"/>
      <c r="H340" s="28"/>
      <c r="I340" s="28"/>
      <c r="J340" s="28"/>
      <c r="K340" s="28"/>
      <c r="L340" s="28"/>
      <c r="M340" s="28"/>
      <c r="N340" s="28"/>
      <c r="O340" s="28"/>
      <c r="P340" s="28"/>
      <c r="Q340" s="28"/>
      <c r="R340" s="28"/>
      <c r="S340" s="28"/>
      <c r="T340" s="28"/>
      <c r="U340" s="28"/>
    </row>
    <row r="341" ht="15.75" customHeight="1">
      <c r="A341" s="15"/>
      <c r="B341" s="15"/>
      <c r="C341" s="28"/>
      <c r="D341" s="28"/>
      <c r="E341" s="28"/>
      <c r="F341" s="28"/>
      <c r="G341" s="28"/>
      <c r="H341" s="28"/>
      <c r="I341" s="28"/>
      <c r="J341" s="28"/>
      <c r="K341" s="28"/>
      <c r="L341" s="28"/>
      <c r="M341" s="28"/>
      <c r="N341" s="28"/>
      <c r="O341" s="28"/>
      <c r="P341" s="28"/>
      <c r="Q341" s="28"/>
      <c r="R341" s="28"/>
      <c r="S341" s="28"/>
      <c r="T341" s="28"/>
      <c r="U341" s="28"/>
    </row>
    <row r="342" ht="15.75" customHeight="1">
      <c r="A342" s="15"/>
      <c r="B342" s="15"/>
      <c r="C342" s="28"/>
      <c r="D342" s="28"/>
      <c r="E342" s="28"/>
      <c r="F342" s="28"/>
      <c r="G342" s="28"/>
      <c r="H342" s="28"/>
      <c r="I342" s="28"/>
      <c r="J342" s="28"/>
      <c r="K342" s="28"/>
      <c r="L342" s="28"/>
      <c r="M342" s="28"/>
      <c r="N342" s="28"/>
      <c r="O342" s="28"/>
      <c r="P342" s="28"/>
      <c r="Q342" s="28"/>
      <c r="R342" s="28"/>
      <c r="S342" s="28"/>
      <c r="T342" s="28"/>
      <c r="U342" s="28"/>
    </row>
    <row r="343" ht="15.75" customHeight="1">
      <c r="A343" s="15"/>
      <c r="B343" s="15"/>
      <c r="C343" s="28"/>
      <c r="D343" s="28"/>
      <c r="E343" s="28"/>
      <c r="F343" s="28"/>
      <c r="G343" s="28"/>
      <c r="H343" s="28"/>
      <c r="I343" s="28"/>
      <c r="J343" s="28"/>
      <c r="K343" s="28"/>
      <c r="L343" s="28"/>
      <c r="M343" s="28"/>
      <c r="N343" s="28"/>
      <c r="O343" s="28"/>
      <c r="P343" s="28"/>
      <c r="Q343" s="28"/>
      <c r="R343" s="28"/>
      <c r="S343" s="28"/>
      <c r="T343" s="28"/>
      <c r="U343" s="28"/>
    </row>
    <row r="344" ht="15.75" customHeight="1">
      <c r="A344" s="15"/>
      <c r="B344" s="15"/>
      <c r="C344" s="28"/>
      <c r="D344" s="28"/>
      <c r="E344" s="28"/>
      <c r="F344" s="28"/>
      <c r="G344" s="28"/>
      <c r="H344" s="28"/>
      <c r="I344" s="28"/>
      <c r="J344" s="28"/>
      <c r="K344" s="28"/>
      <c r="L344" s="28"/>
      <c r="M344" s="28"/>
      <c r="N344" s="28"/>
      <c r="O344" s="28"/>
      <c r="P344" s="28"/>
      <c r="Q344" s="28"/>
      <c r="R344" s="28"/>
      <c r="S344" s="28"/>
      <c r="T344" s="28"/>
      <c r="U344" s="28"/>
    </row>
    <row r="345" ht="15.75" customHeight="1">
      <c r="A345" s="15"/>
      <c r="B345" s="15"/>
      <c r="C345" s="28"/>
      <c r="D345" s="28"/>
      <c r="E345" s="28"/>
      <c r="F345" s="28"/>
      <c r="G345" s="28"/>
      <c r="H345" s="28"/>
      <c r="I345" s="28"/>
      <c r="J345" s="28"/>
      <c r="K345" s="28"/>
      <c r="L345" s="28"/>
      <c r="M345" s="28"/>
      <c r="N345" s="28"/>
      <c r="O345" s="28"/>
      <c r="P345" s="28"/>
      <c r="Q345" s="28"/>
      <c r="R345" s="28"/>
      <c r="S345" s="28"/>
      <c r="T345" s="28"/>
      <c r="U345" s="28"/>
    </row>
    <row r="346" ht="15.75" customHeight="1">
      <c r="A346" s="15"/>
      <c r="B346" s="15"/>
      <c r="C346" s="28"/>
      <c r="D346" s="28"/>
      <c r="E346" s="28"/>
      <c r="F346" s="28"/>
      <c r="G346" s="28"/>
      <c r="H346" s="28"/>
      <c r="I346" s="28"/>
      <c r="J346" s="28"/>
      <c r="K346" s="28"/>
      <c r="L346" s="28"/>
      <c r="M346" s="28"/>
      <c r="N346" s="28"/>
      <c r="O346" s="28"/>
      <c r="P346" s="28"/>
      <c r="Q346" s="28"/>
      <c r="R346" s="28"/>
      <c r="S346" s="28"/>
      <c r="T346" s="28"/>
      <c r="U346" s="28"/>
    </row>
    <row r="347" ht="15.75" customHeight="1">
      <c r="A347" s="15"/>
      <c r="B347" s="15"/>
      <c r="C347" s="28"/>
      <c r="D347" s="28"/>
      <c r="E347" s="28"/>
      <c r="F347" s="28"/>
      <c r="G347" s="28"/>
      <c r="H347" s="28"/>
      <c r="I347" s="28"/>
      <c r="J347" s="28"/>
      <c r="K347" s="28"/>
      <c r="L347" s="28"/>
      <c r="M347" s="28"/>
      <c r="N347" s="28"/>
      <c r="O347" s="28"/>
      <c r="P347" s="28"/>
      <c r="Q347" s="28"/>
      <c r="R347" s="28"/>
      <c r="S347" s="28"/>
      <c r="T347" s="28"/>
      <c r="U347" s="28"/>
    </row>
    <row r="348" ht="15.75" customHeight="1">
      <c r="A348" s="15"/>
      <c r="B348" s="15"/>
      <c r="C348" s="28"/>
      <c r="D348" s="28"/>
      <c r="E348" s="28"/>
      <c r="F348" s="28"/>
      <c r="G348" s="28"/>
      <c r="H348" s="28"/>
      <c r="I348" s="28"/>
      <c r="J348" s="28"/>
      <c r="K348" s="28"/>
      <c r="L348" s="28"/>
      <c r="M348" s="28"/>
      <c r="N348" s="28"/>
      <c r="O348" s="28"/>
      <c r="P348" s="28"/>
      <c r="Q348" s="28"/>
      <c r="R348" s="28"/>
      <c r="S348" s="28"/>
      <c r="T348" s="28"/>
      <c r="U348" s="28"/>
    </row>
    <row r="349" ht="15.75" customHeight="1">
      <c r="A349" s="15"/>
      <c r="B349" s="15"/>
      <c r="C349" s="28"/>
      <c r="D349" s="28"/>
      <c r="E349" s="28"/>
      <c r="F349" s="28"/>
      <c r="G349" s="28"/>
      <c r="H349" s="28"/>
      <c r="I349" s="28"/>
      <c r="J349" s="28"/>
      <c r="K349" s="28"/>
      <c r="L349" s="28"/>
      <c r="M349" s="28"/>
      <c r="N349" s="28"/>
      <c r="O349" s="28"/>
      <c r="P349" s="28"/>
      <c r="Q349" s="28"/>
      <c r="R349" s="28"/>
      <c r="S349" s="28"/>
      <c r="T349" s="28"/>
      <c r="U349" s="28"/>
    </row>
    <row r="350" ht="15.75" customHeight="1">
      <c r="A350" s="28"/>
      <c r="B350" s="28"/>
      <c r="C350" s="28"/>
      <c r="D350" s="28"/>
      <c r="E350" s="28"/>
      <c r="F350" s="28"/>
      <c r="G350" s="28"/>
      <c r="H350" s="28"/>
      <c r="I350" s="28"/>
      <c r="J350" s="28"/>
      <c r="K350" s="28"/>
      <c r="L350" s="28"/>
      <c r="M350" s="28"/>
      <c r="N350" s="28"/>
      <c r="O350" s="28"/>
      <c r="P350" s="28"/>
      <c r="Q350" s="28"/>
      <c r="R350" s="28"/>
      <c r="S350" s="28"/>
      <c r="T350" s="28"/>
      <c r="U350" s="28"/>
    </row>
    <row r="351" ht="15.75" customHeight="1">
      <c r="A351" s="28"/>
      <c r="B351" s="28"/>
      <c r="C351" s="28"/>
      <c r="D351" s="28"/>
      <c r="E351" s="28"/>
      <c r="F351" s="28"/>
      <c r="G351" s="28"/>
      <c r="H351" s="28"/>
      <c r="I351" s="28"/>
      <c r="J351" s="28"/>
      <c r="K351" s="28"/>
      <c r="L351" s="28"/>
      <c r="M351" s="28"/>
      <c r="N351" s="28"/>
      <c r="O351" s="28"/>
      <c r="P351" s="28"/>
      <c r="Q351" s="28"/>
      <c r="R351" s="28"/>
      <c r="S351" s="28"/>
      <c r="T351" s="28"/>
      <c r="U351" s="28"/>
    </row>
    <row r="352" ht="15.75" customHeight="1">
      <c r="A352" s="28"/>
      <c r="B352" s="28"/>
      <c r="C352" s="28"/>
      <c r="D352" s="28"/>
      <c r="E352" s="28"/>
      <c r="F352" s="28"/>
      <c r="G352" s="28"/>
      <c r="H352" s="28"/>
      <c r="I352" s="28"/>
      <c r="J352" s="28"/>
      <c r="K352" s="28"/>
      <c r="L352" s="28"/>
      <c r="M352" s="28"/>
      <c r="N352" s="28"/>
      <c r="O352" s="28"/>
      <c r="P352" s="28"/>
      <c r="Q352" s="28"/>
      <c r="R352" s="28"/>
      <c r="S352" s="28"/>
      <c r="T352" s="28"/>
      <c r="U352" s="28"/>
    </row>
    <row r="353" ht="15.75" customHeight="1">
      <c r="A353" s="28"/>
      <c r="B353" s="28"/>
      <c r="C353" s="28"/>
      <c r="D353" s="28"/>
      <c r="E353" s="28"/>
      <c r="F353" s="28"/>
      <c r="G353" s="28"/>
      <c r="H353" s="28"/>
      <c r="I353" s="28"/>
      <c r="J353" s="28"/>
      <c r="K353" s="28"/>
      <c r="L353" s="28"/>
      <c r="M353" s="28"/>
      <c r="N353" s="28"/>
      <c r="O353" s="28"/>
      <c r="P353" s="28"/>
      <c r="Q353" s="28"/>
      <c r="R353" s="28"/>
      <c r="S353" s="28"/>
      <c r="T353" s="28"/>
      <c r="U353" s="28"/>
    </row>
    <row r="354" ht="15.75" customHeight="1">
      <c r="A354" s="28"/>
      <c r="B354" s="28"/>
      <c r="C354" s="28"/>
      <c r="D354" s="28"/>
      <c r="E354" s="28"/>
      <c r="F354" s="28"/>
      <c r="G354" s="28"/>
      <c r="H354" s="28"/>
      <c r="I354" s="28"/>
      <c r="J354" s="28"/>
      <c r="K354" s="28"/>
      <c r="L354" s="28"/>
      <c r="M354" s="28"/>
      <c r="N354" s="28"/>
      <c r="O354" s="28"/>
      <c r="P354" s="28"/>
      <c r="Q354" s="28"/>
      <c r="R354" s="28"/>
      <c r="S354" s="28"/>
      <c r="T354" s="28"/>
      <c r="U354" s="28"/>
    </row>
    <row r="355" ht="15.75" customHeight="1">
      <c r="A355" s="28"/>
      <c r="B355" s="28"/>
      <c r="C355" s="28"/>
      <c r="D355" s="28"/>
      <c r="E355" s="28"/>
      <c r="F355" s="28"/>
      <c r="G355" s="28"/>
      <c r="H355" s="28"/>
      <c r="I355" s="28"/>
      <c r="J355" s="28"/>
      <c r="K355" s="28"/>
      <c r="L355" s="28"/>
      <c r="M355" s="28"/>
      <c r="N355" s="28"/>
      <c r="O355" s="28"/>
      <c r="P355" s="28"/>
      <c r="Q355" s="28"/>
      <c r="R355" s="28"/>
      <c r="S355" s="28"/>
      <c r="T355" s="28"/>
      <c r="U355" s="28"/>
    </row>
    <row r="356" ht="15.75" customHeight="1">
      <c r="A356" s="28"/>
      <c r="B356" s="28"/>
      <c r="C356" s="28"/>
      <c r="D356" s="28"/>
      <c r="E356" s="28"/>
      <c r="F356" s="28"/>
      <c r="G356" s="28"/>
      <c r="H356" s="28"/>
      <c r="I356" s="28"/>
      <c r="J356" s="28"/>
      <c r="K356" s="28"/>
      <c r="L356" s="28"/>
      <c r="M356" s="28"/>
      <c r="N356" s="28"/>
      <c r="O356" s="28"/>
      <c r="P356" s="28"/>
      <c r="Q356" s="28"/>
      <c r="R356" s="28"/>
      <c r="S356" s="28"/>
      <c r="T356" s="28"/>
      <c r="U356" s="28"/>
    </row>
    <row r="357" ht="15.75" customHeight="1">
      <c r="A357" s="28"/>
      <c r="B357" s="28"/>
      <c r="C357" s="28"/>
      <c r="D357" s="28"/>
      <c r="E357" s="28"/>
      <c r="F357" s="28"/>
      <c r="G357" s="28"/>
      <c r="H357" s="28"/>
      <c r="I357" s="28"/>
      <c r="J357" s="28"/>
      <c r="K357" s="28"/>
      <c r="L357" s="28"/>
      <c r="M357" s="28"/>
      <c r="N357" s="28"/>
      <c r="O357" s="28"/>
      <c r="P357" s="28"/>
      <c r="Q357" s="28"/>
      <c r="R357" s="28"/>
      <c r="S357" s="28"/>
      <c r="T357" s="28"/>
      <c r="U357" s="28"/>
    </row>
    <row r="358" ht="15.75" customHeight="1">
      <c r="A358" s="28"/>
      <c r="B358" s="28"/>
      <c r="C358" s="28"/>
      <c r="D358" s="28"/>
      <c r="E358" s="28"/>
      <c r="F358" s="28"/>
      <c r="G358" s="28"/>
      <c r="H358" s="28"/>
      <c r="I358" s="28"/>
      <c r="J358" s="28"/>
      <c r="K358" s="28"/>
      <c r="L358" s="28"/>
      <c r="M358" s="28"/>
      <c r="N358" s="28"/>
      <c r="O358" s="28"/>
      <c r="P358" s="28"/>
      <c r="Q358" s="28"/>
      <c r="R358" s="28"/>
      <c r="S358" s="28"/>
      <c r="T358" s="28"/>
      <c r="U358" s="28"/>
    </row>
    <row r="359" ht="15.75" customHeight="1">
      <c r="A359" s="28"/>
      <c r="B359" s="28"/>
      <c r="C359" s="28"/>
      <c r="D359" s="28"/>
      <c r="E359" s="28"/>
      <c r="F359" s="28"/>
      <c r="G359" s="28"/>
      <c r="H359" s="28"/>
      <c r="I359" s="28"/>
      <c r="J359" s="28"/>
      <c r="K359" s="28"/>
      <c r="L359" s="28"/>
      <c r="M359" s="28"/>
      <c r="N359" s="28"/>
      <c r="O359" s="28"/>
      <c r="P359" s="28"/>
      <c r="Q359" s="28"/>
      <c r="R359" s="28"/>
      <c r="S359" s="28"/>
      <c r="T359" s="28"/>
      <c r="U359" s="28"/>
    </row>
    <row r="360" ht="15.75" customHeight="1">
      <c r="A360" s="28"/>
      <c r="B360" s="28"/>
      <c r="C360" s="28"/>
      <c r="D360" s="28"/>
      <c r="E360" s="28"/>
      <c r="F360" s="28"/>
      <c r="G360" s="28"/>
      <c r="H360" s="28"/>
      <c r="I360" s="28"/>
      <c r="J360" s="28"/>
      <c r="K360" s="28"/>
      <c r="L360" s="28"/>
      <c r="M360" s="28"/>
      <c r="N360" s="28"/>
      <c r="O360" s="28"/>
      <c r="P360" s="28"/>
      <c r="Q360" s="28"/>
      <c r="R360" s="28"/>
      <c r="S360" s="28"/>
      <c r="T360" s="28"/>
      <c r="U360" s="28"/>
    </row>
    <row r="361" ht="15.75" customHeight="1">
      <c r="A361" s="28"/>
      <c r="B361" s="28"/>
      <c r="C361" s="28"/>
      <c r="D361" s="28"/>
      <c r="E361" s="28"/>
      <c r="F361" s="28"/>
      <c r="G361" s="28"/>
      <c r="H361" s="28"/>
      <c r="I361" s="28"/>
      <c r="J361" s="28"/>
      <c r="K361" s="28"/>
      <c r="L361" s="28"/>
      <c r="M361" s="28"/>
      <c r="N361" s="28"/>
      <c r="O361" s="28"/>
      <c r="P361" s="28"/>
      <c r="Q361" s="28"/>
      <c r="R361" s="28"/>
      <c r="S361" s="28"/>
      <c r="T361" s="28"/>
      <c r="U361" s="28"/>
    </row>
    <row r="362" ht="15.75" customHeight="1">
      <c r="A362" s="28"/>
      <c r="B362" s="28"/>
      <c r="C362" s="28"/>
      <c r="D362" s="28"/>
      <c r="E362" s="28"/>
      <c r="F362" s="28"/>
      <c r="G362" s="28"/>
      <c r="H362" s="28"/>
      <c r="I362" s="28"/>
      <c r="J362" s="28"/>
      <c r="K362" s="28"/>
      <c r="L362" s="28"/>
      <c r="M362" s="28"/>
      <c r="N362" s="28"/>
      <c r="O362" s="28"/>
      <c r="P362" s="28"/>
      <c r="Q362" s="28"/>
      <c r="R362" s="28"/>
      <c r="S362" s="28"/>
      <c r="T362" s="28"/>
      <c r="U362" s="28"/>
    </row>
    <row r="363" ht="15.75" customHeight="1">
      <c r="A363" s="28"/>
      <c r="B363" s="28"/>
      <c r="C363" s="28"/>
      <c r="D363" s="28"/>
      <c r="E363" s="28"/>
      <c r="F363" s="28"/>
      <c r="G363" s="28"/>
      <c r="H363" s="28"/>
      <c r="I363" s="28"/>
      <c r="J363" s="28"/>
      <c r="K363" s="28"/>
      <c r="L363" s="28"/>
      <c r="M363" s="28"/>
      <c r="N363" s="28"/>
      <c r="O363" s="28"/>
      <c r="P363" s="28"/>
      <c r="Q363" s="28"/>
      <c r="R363" s="28"/>
      <c r="S363" s="28"/>
      <c r="T363" s="28"/>
      <c r="U363" s="28"/>
    </row>
    <row r="364" ht="15.75" customHeight="1">
      <c r="A364" s="28"/>
      <c r="B364" s="28"/>
      <c r="C364" s="28"/>
      <c r="D364" s="28"/>
      <c r="E364" s="28"/>
      <c r="F364" s="28"/>
      <c r="G364" s="28"/>
      <c r="H364" s="28"/>
      <c r="I364" s="28"/>
      <c r="J364" s="28"/>
      <c r="K364" s="28"/>
      <c r="L364" s="28"/>
      <c r="M364" s="28"/>
      <c r="N364" s="28"/>
      <c r="O364" s="28"/>
      <c r="P364" s="28"/>
      <c r="Q364" s="28"/>
      <c r="R364" s="28"/>
      <c r="S364" s="28"/>
      <c r="T364" s="28"/>
      <c r="U364" s="28"/>
    </row>
    <row r="365" ht="15.75" customHeight="1">
      <c r="A365" s="28"/>
      <c r="B365" s="28"/>
      <c r="C365" s="28"/>
      <c r="D365" s="28"/>
      <c r="E365" s="28"/>
      <c r="F365" s="28"/>
      <c r="G365" s="28"/>
      <c r="H365" s="28"/>
      <c r="I365" s="28"/>
      <c r="J365" s="28"/>
      <c r="K365" s="28"/>
      <c r="L365" s="28"/>
      <c r="M365" s="28"/>
      <c r="N365" s="28"/>
      <c r="O365" s="28"/>
      <c r="P365" s="28"/>
      <c r="Q365" s="28"/>
      <c r="R365" s="28"/>
      <c r="S365" s="28"/>
      <c r="T365" s="28"/>
      <c r="U365" s="28"/>
    </row>
    <row r="366" ht="15.75" customHeight="1">
      <c r="A366" s="28"/>
      <c r="B366" s="28"/>
      <c r="C366" s="28"/>
      <c r="D366" s="28"/>
      <c r="E366" s="28"/>
      <c r="F366" s="28"/>
      <c r="G366" s="28"/>
      <c r="H366" s="28"/>
      <c r="I366" s="28"/>
      <c r="J366" s="28"/>
      <c r="K366" s="28"/>
      <c r="L366" s="28"/>
      <c r="M366" s="28"/>
      <c r="N366" s="28"/>
      <c r="O366" s="28"/>
      <c r="P366" s="28"/>
      <c r="Q366" s="28"/>
      <c r="R366" s="28"/>
      <c r="S366" s="28"/>
      <c r="T366" s="28"/>
      <c r="U366" s="28"/>
    </row>
    <row r="367" ht="15.75" customHeight="1">
      <c r="A367" s="28"/>
      <c r="B367" s="28"/>
      <c r="C367" s="28"/>
      <c r="D367" s="28"/>
      <c r="E367" s="28"/>
      <c r="F367" s="28"/>
      <c r="G367" s="28"/>
      <c r="H367" s="28"/>
      <c r="I367" s="28"/>
      <c r="J367" s="28"/>
      <c r="K367" s="28"/>
      <c r="L367" s="28"/>
      <c r="M367" s="28"/>
      <c r="N367" s="28"/>
      <c r="O367" s="28"/>
      <c r="P367" s="28"/>
      <c r="Q367" s="28"/>
      <c r="R367" s="28"/>
      <c r="S367" s="28"/>
      <c r="T367" s="28"/>
      <c r="U367" s="28"/>
    </row>
    <row r="368" ht="15.75" customHeight="1">
      <c r="A368" s="28"/>
      <c r="B368" s="28"/>
      <c r="C368" s="28"/>
      <c r="D368" s="28"/>
      <c r="E368" s="28"/>
      <c r="F368" s="28"/>
      <c r="G368" s="28"/>
      <c r="H368" s="28"/>
      <c r="I368" s="28"/>
      <c r="J368" s="28"/>
      <c r="K368" s="28"/>
      <c r="L368" s="28"/>
      <c r="M368" s="28"/>
      <c r="N368" s="28"/>
      <c r="O368" s="28"/>
      <c r="P368" s="28"/>
      <c r="Q368" s="28"/>
      <c r="R368" s="28"/>
      <c r="S368" s="28"/>
      <c r="T368" s="28"/>
      <c r="U368" s="28"/>
    </row>
    <row r="369" ht="15.75" customHeight="1">
      <c r="A369" s="28"/>
      <c r="B369" s="28"/>
      <c r="C369" s="28"/>
      <c r="D369" s="28"/>
      <c r="E369" s="28"/>
      <c r="F369" s="28"/>
      <c r="G369" s="28"/>
      <c r="H369" s="28"/>
      <c r="I369" s="28"/>
      <c r="J369" s="28"/>
      <c r="K369" s="28"/>
      <c r="L369" s="28"/>
      <c r="M369" s="28"/>
      <c r="N369" s="28"/>
      <c r="O369" s="28"/>
      <c r="P369" s="28"/>
      <c r="Q369" s="28"/>
      <c r="R369" s="28"/>
      <c r="S369" s="28"/>
      <c r="T369" s="28"/>
      <c r="U369" s="28"/>
    </row>
    <row r="370" ht="15.75" customHeight="1">
      <c r="A370" s="28"/>
      <c r="B370" s="28"/>
      <c r="C370" s="28"/>
      <c r="D370" s="28"/>
      <c r="E370" s="28"/>
      <c r="F370" s="28"/>
      <c r="G370" s="28"/>
      <c r="H370" s="28"/>
      <c r="I370" s="28"/>
      <c r="J370" s="28"/>
      <c r="K370" s="28"/>
      <c r="L370" s="28"/>
      <c r="M370" s="28"/>
      <c r="N370" s="28"/>
      <c r="O370" s="28"/>
      <c r="P370" s="28"/>
      <c r="Q370" s="28"/>
      <c r="R370" s="28"/>
      <c r="S370" s="28"/>
      <c r="T370" s="28"/>
      <c r="U370" s="28"/>
    </row>
    <row r="371" ht="15.75" customHeight="1">
      <c r="A371" s="28"/>
      <c r="B371" s="28"/>
      <c r="C371" s="28"/>
      <c r="D371" s="28"/>
      <c r="E371" s="28"/>
      <c r="F371" s="28"/>
      <c r="G371" s="28"/>
      <c r="H371" s="28"/>
      <c r="I371" s="28"/>
      <c r="J371" s="28"/>
      <c r="K371" s="28"/>
      <c r="L371" s="28"/>
      <c r="M371" s="28"/>
      <c r="N371" s="28"/>
      <c r="O371" s="28"/>
      <c r="P371" s="28"/>
      <c r="Q371" s="28"/>
      <c r="R371" s="28"/>
      <c r="S371" s="28"/>
      <c r="T371" s="28"/>
      <c r="U371" s="28"/>
    </row>
    <row r="372" ht="15.75" customHeight="1">
      <c r="A372" s="28"/>
      <c r="B372" s="28"/>
      <c r="C372" s="28"/>
      <c r="D372" s="28"/>
      <c r="E372" s="28"/>
      <c r="F372" s="28"/>
      <c r="G372" s="28"/>
      <c r="H372" s="28"/>
      <c r="I372" s="28"/>
      <c r="J372" s="28"/>
      <c r="K372" s="28"/>
      <c r="L372" s="28"/>
      <c r="M372" s="28"/>
      <c r="N372" s="28"/>
      <c r="O372" s="28"/>
      <c r="P372" s="28"/>
      <c r="Q372" s="28"/>
      <c r="R372" s="28"/>
      <c r="S372" s="28"/>
      <c r="T372" s="28"/>
      <c r="U372" s="28"/>
    </row>
    <row r="373" ht="15.75" customHeight="1">
      <c r="A373" s="28"/>
      <c r="B373" s="28"/>
      <c r="C373" s="28"/>
      <c r="D373" s="28"/>
      <c r="E373" s="28"/>
      <c r="F373" s="28"/>
      <c r="G373" s="28"/>
      <c r="H373" s="28"/>
      <c r="I373" s="28"/>
      <c r="J373" s="28"/>
      <c r="K373" s="28"/>
      <c r="L373" s="28"/>
      <c r="M373" s="28"/>
      <c r="N373" s="28"/>
      <c r="O373" s="28"/>
      <c r="P373" s="28"/>
      <c r="Q373" s="28"/>
      <c r="R373" s="28"/>
      <c r="S373" s="28"/>
      <c r="T373" s="28"/>
      <c r="U373" s="28"/>
    </row>
    <row r="374" ht="15.75" customHeight="1">
      <c r="A374" s="28"/>
      <c r="B374" s="28"/>
      <c r="C374" s="28"/>
      <c r="D374" s="28"/>
      <c r="E374" s="28"/>
      <c r="F374" s="28"/>
      <c r="G374" s="28"/>
      <c r="H374" s="28"/>
      <c r="I374" s="28"/>
      <c r="J374" s="28"/>
      <c r="K374" s="28"/>
      <c r="L374" s="28"/>
      <c r="M374" s="28"/>
      <c r="N374" s="28"/>
      <c r="O374" s="28"/>
      <c r="P374" s="28"/>
      <c r="Q374" s="28"/>
      <c r="R374" s="28"/>
      <c r="S374" s="28"/>
      <c r="T374" s="28"/>
      <c r="U374" s="28"/>
    </row>
    <row r="375" ht="15.75" customHeight="1">
      <c r="A375" s="28"/>
      <c r="B375" s="28"/>
      <c r="C375" s="28"/>
      <c r="D375" s="28"/>
      <c r="E375" s="28"/>
      <c r="F375" s="28"/>
      <c r="G375" s="28"/>
      <c r="H375" s="28"/>
      <c r="I375" s="28"/>
      <c r="J375" s="28"/>
      <c r="K375" s="28"/>
      <c r="L375" s="28"/>
      <c r="M375" s="28"/>
      <c r="N375" s="28"/>
      <c r="O375" s="28"/>
      <c r="P375" s="28"/>
      <c r="Q375" s="28"/>
      <c r="R375" s="28"/>
      <c r="S375" s="28"/>
      <c r="T375" s="28"/>
      <c r="U375" s="28"/>
    </row>
    <row r="376" ht="15.75" customHeight="1">
      <c r="A376" s="28"/>
      <c r="B376" s="28"/>
      <c r="C376" s="28"/>
      <c r="D376" s="28"/>
      <c r="E376" s="28"/>
      <c r="F376" s="28"/>
      <c r="G376" s="28"/>
      <c r="H376" s="28"/>
      <c r="I376" s="28"/>
      <c r="J376" s="28"/>
      <c r="K376" s="28"/>
      <c r="L376" s="28"/>
      <c r="M376" s="28"/>
      <c r="N376" s="28"/>
      <c r="O376" s="28"/>
      <c r="P376" s="28"/>
      <c r="Q376" s="28"/>
      <c r="R376" s="28"/>
      <c r="S376" s="28"/>
      <c r="T376" s="28"/>
      <c r="U376" s="28"/>
    </row>
    <row r="377" ht="15.75" customHeight="1">
      <c r="A377" s="28"/>
      <c r="B377" s="28"/>
      <c r="C377" s="28"/>
      <c r="D377" s="28"/>
      <c r="E377" s="28"/>
      <c r="F377" s="28"/>
      <c r="G377" s="28"/>
      <c r="H377" s="28"/>
      <c r="I377" s="28"/>
      <c r="J377" s="28"/>
      <c r="K377" s="28"/>
      <c r="L377" s="28"/>
      <c r="M377" s="28"/>
      <c r="N377" s="28"/>
      <c r="O377" s="28"/>
      <c r="P377" s="28"/>
      <c r="Q377" s="28"/>
      <c r="R377" s="28"/>
      <c r="S377" s="28"/>
      <c r="T377" s="28"/>
      <c r="U377" s="28"/>
    </row>
    <row r="378" ht="15.75" customHeight="1">
      <c r="A378" s="28"/>
      <c r="B378" s="28"/>
      <c r="C378" s="28"/>
      <c r="D378" s="28"/>
      <c r="E378" s="28"/>
      <c r="F378" s="28"/>
      <c r="G378" s="28"/>
      <c r="H378" s="28"/>
      <c r="I378" s="28"/>
      <c r="J378" s="28"/>
      <c r="K378" s="28"/>
      <c r="L378" s="28"/>
      <c r="M378" s="28"/>
      <c r="N378" s="28"/>
      <c r="O378" s="28"/>
      <c r="P378" s="28"/>
      <c r="Q378" s="28"/>
      <c r="R378" s="28"/>
      <c r="S378" s="28"/>
      <c r="T378" s="28"/>
      <c r="U378" s="28"/>
    </row>
    <row r="379" ht="15.75" customHeight="1">
      <c r="A379" s="28"/>
      <c r="B379" s="28"/>
      <c r="C379" s="28"/>
      <c r="D379" s="28"/>
      <c r="E379" s="28"/>
      <c r="F379" s="28"/>
      <c r="G379" s="28"/>
      <c r="H379" s="28"/>
      <c r="I379" s="28"/>
      <c r="J379" s="28"/>
      <c r="K379" s="28"/>
      <c r="L379" s="28"/>
      <c r="M379" s="28"/>
      <c r="N379" s="28"/>
      <c r="O379" s="28"/>
      <c r="P379" s="28"/>
      <c r="Q379" s="28"/>
      <c r="R379" s="28"/>
      <c r="S379" s="28"/>
      <c r="T379" s="28"/>
      <c r="U379" s="28"/>
    </row>
    <row r="380" ht="15.75" customHeight="1">
      <c r="A380" s="28"/>
      <c r="B380" s="28"/>
      <c r="C380" s="28"/>
      <c r="D380" s="28"/>
      <c r="E380" s="28"/>
      <c r="F380" s="28"/>
      <c r="G380" s="28"/>
      <c r="H380" s="28"/>
      <c r="I380" s="28"/>
      <c r="J380" s="28"/>
      <c r="K380" s="28"/>
      <c r="L380" s="28"/>
      <c r="M380" s="28"/>
      <c r="N380" s="28"/>
      <c r="O380" s="28"/>
      <c r="P380" s="28"/>
      <c r="Q380" s="28"/>
      <c r="R380" s="28"/>
      <c r="S380" s="28"/>
      <c r="T380" s="28"/>
      <c r="U380" s="28"/>
    </row>
    <row r="381" ht="15.75" customHeight="1">
      <c r="A381" s="28"/>
      <c r="B381" s="28"/>
      <c r="C381" s="28"/>
      <c r="D381" s="28"/>
      <c r="E381" s="28"/>
      <c r="F381" s="28"/>
      <c r="G381" s="28"/>
      <c r="H381" s="28"/>
      <c r="I381" s="28"/>
      <c r="J381" s="28"/>
      <c r="K381" s="28"/>
      <c r="L381" s="28"/>
      <c r="M381" s="28"/>
      <c r="N381" s="28"/>
      <c r="O381" s="28"/>
      <c r="P381" s="28"/>
      <c r="Q381" s="28"/>
      <c r="R381" s="28"/>
      <c r="S381" s="28"/>
      <c r="T381" s="28"/>
      <c r="U381" s="28"/>
    </row>
    <row r="382" ht="15.75" customHeight="1">
      <c r="A382" s="28"/>
      <c r="B382" s="28"/>
      <c r="C382" s="28"/>
      <c r="D382" s="28"/>
      <c r="E382" s="28"/>
      <c r="F382" s="28"/>
      <c r="G382" s="28"/>
      <c r="H382" s="28"/>
      <c r="I382" s="28"/>
      <c r="J382" s="28"/>
      <c r="K382" s="28"/>
      <c r="L382" s="28"/>
      <c r="M382" s="28"/>
      <c r="N382" s="28"/>
      <c r="O382" s="28"/>
      <c r="P382" s="28"/>
      <c r="Q382" s="28"/>
      <c r="R382" s="28"/>
      <c r="S382" s="28"/>
      <c r="T382" s="28"/>
      <c r="U382" s="28"/>
    </row>
    <row r="383" ht="15.75" customHeight="1">
      <c r="A383" s="28"/>
      <c r="B383" s="28"/>
      <c r="C383" s="28"/>
      <c r="D383" s="28"/>
      <c r="E383" s="28"/>
      <c r="F383" s="28"/>
      <c r="G383" s="28"/>
      <c r="H383" s="28"/>
      <c r="I383" s="28"/>
      <c r="J383" s="28"/>
      <c r="K383" s="28"/>
      <c r="L383" s="28"/>
      <c r="M383" s="28"/>
      <c r="N383" s="28"/>
      <c r="O383" s="28"/>
      <c r="P383" s="28"/>
      <c r="Q383" s="28"/>
      <c r="R383" s="28"/>
      <c r="S383" s="28"/>
      <c r="T383" s="28"/>
      <c r="U383" s="28"/>
    </row>
    <row r="384" ht="15.75" customHeight="1">
      <c r="A384" s="28"/>
      <c r="B384" s="28"/>
      <c r="C384" s="28"/>
      <c r="D384" s="28"/>
      <c r="E384" s="28"/>
      <c r="F384" s="28"/>
      <c r="G384" s="28"/>
      <c r="H384" s="28"/>
      <c r="I384" s="28"/>
      <c r="J384" s="28"/>
      <c r="K384" s="28"/>
      <c r="L384" s="28"/>
      <c r="M384" s="28"/>
      <c r="N384" s="28"/>
      <c r="O384" s="28"/>
      <c r="P384" s="28"/>
      <c r="Q384" s="28"/>
      <c r="R384" s="28"/>
      <c r="S384" s="28"/>
      <c r="T384" s="28"/>
      <c r="U384" s="28"/>
    </row>
    <row r="385" ht="15.75" customHeight="1">
      <c r="A385" s="28"/>
      <c r="B385" s="28"/>
      <c r="C385" s="28"/>
      <c r="D385" s="28"/>
      <c r="E385" s="28"/>
      <c r="F385" s="28"/>
      <c r="G385" s="28"/>
      <c r="H385" s="28"/>
      <c r="I385" s="28"/>
      <c r="J385" s="28"/>
      <c r="K385" s="28"/>
      <c r="L385" s="28"/>
      <c r="M385" s="28"/>
      <c r="N385" s="28"/>
      <c r="O385" s="28"/>
      <c r="P385" s="28"/>
      <c r="Q385" s="28"/>
      <c r="R385" s="28"/>
      <c r="S385" s="28"/>
      <c r="T385" s="28"/>
      <c r="U385" s="28"/>
    </row>
    <row r="386" ht="15.75" customHeight="1">
      <c r="A386" s="28"/>
      <c r="B386" s="28"/>
      <c r="C386" s="28"/>
      <c r="D386" s="28"/>
      <c r="E386" s="28"/>
      <c r="F386" s="28"/>
      <c r="G386" s="28"/>
      <c r="H386" s="28"/>
      <c r="I386" s="28"/>
      <c r="J386" s="28"/>
      <c r="K386" s="28"/>
      <c r="L386" s="28"/>
      <c r="M386" s="28"/>
      <c r="N386" s="28"/>
      <c r="O386" s="28"/>
      <c r="P386" s="28"/>
      <c r="Q386" s="28"/>
      <c r="R386" s="28"/>
      <c r="S386" s="28"/>
      <c r="T386" s="28"/>
      <c r="U386" s="28"/>
    </row>
    <row r="387" ht="15.75" customHeight="1">
      <c r="A387" s="28"/>
      <c r="B387" s="28"/>
      <c r="C387" s="28"/>
      <c r="D387" s="28"/>
      <c r="E387" s="28"/>
      <c r="F387" s="28"/>
      <c r="G387" s="28"/>
      <c r="H387" s="28"/>
      <c r="I387" s="28"/>
      <c r="J387" s="28"/>
      <c r="K387" s="28"/>
      <c r="L387" s="28"/>
      <c r="M387" s="28"/>
      <c r="N387" s="28"/>
      <c r="O387" s="28"/>
      <c r="P387" s="28"/>
      <c r="Q387" s="28"/>
      <c r="R387" s="28"/>
      <c r="S387" s="28"/>
      <c r="T387" s="28"/>
      <c r="U387" s="28"/>
    </row>
    <row r="388" ht="15.75" customHeight="1">
      <c r="A388" s="28"/>
      <c r="B388" s="28"/>
      <c r="C388" s="28"/>
      <c r="D388" s="28"/>
      <c r="E388" s="28"/>
      <c r="F388" s="28"/>
      <c r="G388" s="28"/>
      <c r="H388" s="28"/>
      <c r="I388" s="28"/>
      <c r="J388" s="28"/>
      <c r="K388" s="28"/>
      <c r="L388" s="28"/>
      <c r="M388" s="28"/>
      <c r="N388" s="28"/>
      <c r="O388" s="28"/>
      <c r="P388" s="28"/>
      <c r="Q388" s="28"/>
      <c r="R388" s="28"/>
      <c r="S388" s="28"/>
      <c r="T388" s="28"/>
      <c r="U388" s="28"/>
    </row>
    <row r="389" ht="15.75" customHeight="1">
      <c r="A389" s="28"/>
      <c r="B389" s="28"/>
      <c r="C389" s="28"/>
      <c r="D389" s="28"/>
      <c r="E389" s="28"/>
      <c r="F389" s="28"/>
      <c r="G389" s="28"/>
      <c r="H389" s="28"/>
      <c r="I389" s="28"/>
      <c r="J389" s="28"/>
      <c r="K389" s="28"/>
      <c r="L389" s="28"/>
      <c r="M389" s="28"/>
      <c r="N389" s="28"/>
      <c r="O389" s="28"/>
      <c r="P389" s="28"/>
      <c r="Q389" s="28"/>
      <c r="R389" s="28"/>
      <c r="S389" s="28"/>
      <c r="T389" s="28"/>
      <c r="U389" s="28"/>
    </row>
    <row r="390" ht="15.75" customHeight="1">
      <c r="A390" s="28"/>
      <c r="B390" s="28"/>
      <c r="C390" s="28"/>
      <c r="D390" s="28"/>
      <c r="E390" s="28"/>
      <c r="F390" s="28"/>
      <c r="G390" s="28"/>
      <c r="H390" s="28"/>
      <c r="I390" s="28"/>
      <c r="J390" s="28"/>
      <c r="K390" s="28"/>
      <c r="L390" s="28"/>
      <c r="M390" s="28"/>
      <c r="N390" s="28"/>
      <c r="O390" s="28"/>
      <c r="P390" s="28"/>
      <c r="Q390" s="28"/>
      <c r="R390" s="28"/>
      <c r="S390" s="28"/>
      <c r="T390" s="28"/>
      <c r="U390" s="28"/>
    </row>
    <row r="391" ht="15.75" customHeight="1">
      <c r="A391" s="28"/>
      <c r="B391" s="28"/>
      <c r="C391" s="28"/>
      <c r="D391" s="28"/>
      <c r="E391" s="28"/>
      <c r="F391" s="28"/>
      <c r="G391" s="28"/>
      <c r="H391" s="28"/>
      <c r="I391" s="28"/>
      <c r="J391" s="28"/>
      <c r="K391" s="28"/>
      <c r="L391" s="28"/>
      <c r="M391" s="28"/>
      <c r="N391" s="28"/>
      <c r="O391" s="28"/>
      <c r="P391" s="28"/>
      <c r="Q391" s="28"/>
      <c r="R391" s="28"/>
      <c r="S391" s="28"/>
      <c r="T391" s="28"/>
      <c r="U391" s="28"/>
    </row>
    <row r="392" ht="15.75" customHeight="1">
      <c r="A392" s="28"/>
      <c r="B392" s="28"/>
      <c r="C392" s="28"/>
      <c r="D392" s="28"/>
      <c r="E392" s="28"/>
      <c r="F392" s="28"/>
      <c r="G392" s="28"/>
      <c r="H392" s="28"/>
      <c r="I392" s="28"/>
      <c r="J392" s="28"/>
      <c r="K392" s="28"/>
      <c r="L392" s="28"/>
      <c r="M392" s="28"/>
      <c r="N392" s="28"/>
      <c r="O392" s="28"/>
      <c r="P392" s="28"/>
      <c r="Q392" s="28"/>
      <c r="R392" s="28"/>
      <c r="S392" s="28"/>
      <c r="T392" s="28"/>
      <c r="U392" s="28"/>
    </row>
    <row r="393" ht="15.75" customHeight="1">
      <c r="A393" s="28"/>
      <c r="B393" s="28"/>
      <c r="C393" s="28"/>
      <c r="D393" s="28"/>
      <c r="E393" s="28"/>
      <c r="F393" s="28"/>
      <c r="G393" s="28"/>
      <c r="H393" s="28"/>
      <c r="I393" s="28"/>
      <c r="J393" s="28"/>
      <c r="K393" s="28"/>
      <c r="L393" s="28"/>
      <c r="M393" s="28"/>
      <c r="N393" s="28"/>
      <c r="O393" s="28"/>
      <c r="P393" s="28"/>
      <c r="Q393" s="28"/>
      <c r="R393" s="28"/>
      <c r="S393" s="28"/>
      <c r="T393" s="28"/>
      <c r="U393" s="28"/>
    </row>
    <row r="394" ht="15.75" customHeight="1">
      <c r="A394" s="28"/>
      <c r="B394" s="28"/>
      <c r="C394" s="28"/>
      <c r="D394" s="28"/>
      <c r="E394" s="28"/>
      <c r="F394" s="28"/>
      <c r="G394" s="28"/>
      <c r="H394" s="28"/>
      <c r="I394" s="28"/>
      <c r="J394" s="28"/>
      <c r="K394" s="28"/>
      <c r="L394" s="28"/>
      <c r="M394" s="28"/>
      <c r="N394" s="28"/>
      <c r="O394" s="28"/>
      <c r="P394" s="28"/>
      <c r="Q394" s="28"/>
      <c r="R394" s="28"/>
      <c r="S394" s="28"/>
      <c r="T394" s="28"/>
      <c r="U394" s="28"/>
    </row>
    <row r="395" ht="15.75" customHeight="1">
      <c r="A395" s="28"/>
      <c r="B395" s="28"/>
      <c r="C395" s="28"/>
      <c r="D395" s="28"/>
      <c r="E395" s="28"/>
      <c r="F395" s="28"/>
      <c r="G395" s="28"/>
      <c r="H395" s="28"/>
      <c r="I395" s="28"/>
      <c r="J395" s="28"/>
      <c r="K395" s="28"/>
      <c r="L395" s="28"/>
      <c r="M395" s="28"/>
      <c r="N395" s="28"/>
      <c r="O395" s="28"/>
      <c r="P395" s="28"/>
      <c r="Q395" s="28"/>
      <c r="R395" s="28"/>
      <c r="S395" s="28"/>
      <c r="T395" s="28"/>
      <c r="U395" s="28"/>
    </row>
    <row r="396" ht="15.75" customHeight="1">
      <c r="A396" s="28"/>
      <c r="B396" s="28"/>
      <c r="C396" s="28"/>
      <c r="D396" s="28"/>
      <c r="E396" s="28"/>
      <c r="F396" s="28"/>
      <c r="G396" s="28"/>
      <c r="H396" s="28"/>
      <c r="I396" s="28"/>
      <c r="J396" s="28"/>
      <c r="K396" s="28"/>
      <c r="L396" s="28"/>
      <c r="M396" s="28"/>
      <c r="N396" s="28"/>
      <c r="O396" s="28"/>
      <c r="P396" s="28"/>
      <c r="Q396" s="28"/>
      <c r="R396" s="28"/>
      <c r="S396" s="28"/>
      <c r="T396" s="28"/>
      <c r="U396" s="28"/>
    </row>
    <row r="397" ht="15.75" customHeight="1">
      <c r="A397" s="28"/>
      <c r="B397" s="28"/>
      <c r="C397" s="28"/>
      <c r="D397" s="28"/>
      <c r="E397" s="28"/>
      <c r="F397" s="28"/>
      <c r="G397" s="28"/>
      <c r="H397" s="28"/>
      <c r="I397" s="28"/>
      <c r="J397" s="28"/>
      <c r="K397" s="28"/>
      <c r="L397" s="28"/>
      <c r="M397" s="28"/>
      <c r="N397" s="28"/>
      <c r="O397" s="28"/>
      <c r="P397" s="28"/>
      <c r="Q397" s="28"/>
      <c r="R397" s="28"/>
      <c r="S397" s="28"/>
      <c r="T397" s="28"/>
      <c r="U397" s="28"/>
    </row>
    <row r="398" ht="15.75" customHeight="1">
      <c r="A398" s="28"/>
      <c r="B398" s="28"/>
      <c r="C398" s="28"/>
      <c r="D398" s="28"/>
      <c r="E398" s="28"/>
      <c r="F398" s="28"/>
      <c r="G398" s="28"/>
      <c r="H398" s="28"/>
      <c r="I398" s="28"/>
      <c r="J398" s="28"/>
      <c r="K398" s="28"/>
      <c r="L398" s="28"/>
      <c r="M398" s="28"/>
      <c r="N398" s="28"/>
      <c r="O398" s="28"/>
      <c r="P398" s="28"/>
      <c r="Q398" s="28"/>
      <c r="R398" s="28"/>
      <c r="S398" s="28"/>
      <c r="T398" s="28"/>
      <c r="U398" s="28"/>
    </row>
    <row r="399" ht="15.75" customHeight="1">
      <c r="A399" s="28"/>
      <c r="B399" s="28"/>
      <c r="C399" s="28"/>
      <c r="D399" s="28"/>
      <c r="E399" s="28"/>
      <c r="F399" s="28"/>
      <c r="G399" s="28"/>
      <c r="H399" s="28"/>
      <c r="I399" s="28"/>
      <c r="J399" s="28"/>
      <c r="K399" s="28"/>
      <c r="L399" s="28"/>
      <c r="M399" s="28"/>
      <c r="N399" s="28"/>
      <c r="O399" s="28"/>
      <c r="P399" s="28"/>
      <c r="Q399" s="28"/>
      <c r="R399" s="28"/>
      <c r="S399" s="28"/>
      <c r="T399" s="28"/>
      <c r="U399" s="28"/>
    </row>
    <row r="400" ht="15.75" customHeight="1">
      <c r="A400" s="28"/>
      <c r="B400" s="28"/>
      <c r="C400" s="28"/>
      <c r="D400" s="28"/>
      <c r="E400" s="28"/>
      <c r="F400" s="28"/>
      <c r="G400" s="28"/>
      <c r="H400" s="28"/>
      <c r="I400" s="28"/>
      <c r="J400" s="28"/>
      <c r="K400" s="28"/>
      <c r="L400" s="28"/>
      <c r="M400" s="28"/>
      <c r="N400" s="28"/>
      <c r="O400" s="28"/>
      <c r="P400" s="28"/>
      <c r="Q400" s="28"/>
      <c r="R400" s="28"/>
      <c r="S400" s="28"/>
      <c r="T400" s="28"/>
      <c r="U400" s="28"/>
    </row>
    <row r="401" ht="15.75" customHeight="1">
      <c r="A401" s="28"/>
      <c r="B401" s="28"/>
      <c r="C401" s="28"/>
      <c r="D401" s="28"/>
      <c r="E401" s="28"/>
      <c r="F401" s="28"/>
      <c r="G401" s="28"/>
      <c r="H401" s="28"/>
      <c r="I401" s="28"/>
      <c r="J401" s="28"/>
      <c r="K401" s="28"/>
      <c r="L401" s="28"/>
      <c r="M401" s="28"/>
      <c r="N401" s="28"/>
      <c r="O401" s="28"/>
      <c r="P401" s="28"/>
      <c r="Q401" s="28"/>
      <c r="R401" s="28"/>
      <c r="S401" s="28"/>
      <c r="T401" s="28"/>
      <c r="U401" s="28"/>
    </row>
    <row r="402" ht="15.75" customHeight="1">
      <c r="A402" s="28"/>
      <c r="B402" s="28"/>
      <c r="C402" s="28"/>
      <c r="D402" s="28"/>
      <c r="E402" s="28"/>
      <c r="F402" s="28"/>
      <c r="G402" s="28"/>
      <c r="H402" s="28"/>
      <c r="I402" s="28"/>
      <c r="J402" s="28"/>
      <c r="K402" s="28"/>
      <c r="L402" s="28"/>
      <c r="M402" s="28"/>
      <c r="N402" s="28"/>
      <c r="O402" s="28"/>
      <c r="P402" s="28"/>
      <c r="Q402" s="28"/>
      <c r="R402" s="28"/>
      <c r="S402" s="28"/>
      <c r="T402" s="28"/>
      <c r="U402" s="28"/>
    </row>
    <row r="403" ht="15.75" customHeight="1">
      <c r="A403" s="28"/>
      <c r="B403" s="28"/>
      <c r="C403" s="28"/>
      <c r="D403" s="28"/>
      <c r="E403" s="28"/>
      <c r="F403" s="28"/>
      <c r="G403" s="28"/>
      <c r="H403" s="28"/>
      <c r="I403" s="28"/>
      <c r="J403" s="28"/>
      <c r="K403" s="28"/>
      <c r="L403" s="28"/>
      <c r="M403" s="28"/>
      <c r="N403" s="28"/>
      <c r="O403" s="28"/>
      <c r="P403" s="28"/>
      <c r="Q403" s="28"/>
      <c r="R403" s="28"/>
      <c r="S403" s="28"/>
      <c r="T403" s="28"/>
      <c r="U403" s="28"/>
    </row>
    <row r="404" ht="15.75" customHeight="1">
      <c r="A404" s="28"/>
      <c r="B404" s="28"/>
      <c r="C404" s="28"/>
      <c r="D404" s="28"/>
      <c r="E404" s="28"/>
      <c r="F404" s="28"/>
      <c r="G404" s="28"/>
      <c r="H404" s="28"/>
      <c r="I404" s="28"/>
      <c r="J404" s="28"/>
      <c r="K404" s="28"/>
      <c r="L404" s="28"/>
      <c r="M404" s="28"/>
      <c r="N404" s="28"/>
      <c r="O404" s="28"/>
      <c r="P404" s="28"/>
      <c r="Q404" s="28"/>
      <c r="R404" s="28"/>
      <c r="S404" s="28"/>
      <c r="T404" s="28"/>
      <c r="U404" s="28"/>
    </row>
    <row r="405" ht="15.75" customHeight="1">
      <c r="A405" s="28"/>
      <c r="B405" s="28"/>
      <c r="C405" s="28"/>
      <c r="D405" s="28"/>
      <c r="E405" s="28"/>
      <c r="F405" s="28"/>
      <c r="G405" s="28"/>
      <c r="H405" s="28"/>
      <c r="I405" s="28"/>
      <c r="J405" s="28"/>
      <c r="K405" s="28"/>
      <c r="L405" s="28"/>
      <c r="M405" s="28"/>
      <c r="N405" s="28"/>
      <c r="O405" s="28"/>
      <c r="P405" s="28"/>
      <c r="Q405" s="28"/>
      <c r="R405" s="28"/>
      <c r="S405" s="28"/>
      <c r="T405" s="28"/>
      <c r="U405" s="28"/>
    </row>
    <row r="406" ht="15.75" customHeight="1">
      <c r="A406" s="28"/>
      <c r="B406" s="28"/>
      <c r="C406" s="28"/>
      <c r="D406" s="28"/>
      <c r="E406" s="28"/>
      <c r="F406" s="28"/>
      <c r="G406" s="28"/>
      <c r="H406" s="28"/>
      <c r="I406" s="28"/>
      <c r="J406" s="28"/>
      <c r="K406" s="28"/>
      <c r="L406" s="28"/>
      <c r="M406" s="28"/>
      <c r="N406" s="28"/>
      <c r="O406" s="28"/>
      <c r="P406" s="28"/>
      <c r="Q406" s="28"/>
      <c r="R406" s="28"/>
      <c r="S406" s="28"/>
      <c r="T406" s="28"/>
      <c r="U406" s="28"/>
    </row>
    <row r="407" ht="15.75" customHeight="1">
      <c r="A407" s="28"/>
      <c r="B407" s="28"/>
      <c r="C407" s="28"/>
      <c r="D407" s="28"/>
      <c r="E407" s="28"/>
      <c r="F407" s="28"/>
      <c r="G407" s="28"/>
      <c r="H407" s="28"/>
      <c r="I407" s="28"/>
      <c r="J407" s="28"/>
      <c r="K407" s="28"/>
      <c r="L407" s="28"/>
      <c r="M407" s="28"/>
      <c r="N407" s="28"/>
      <c r="O407" s="28"/>
      <c r="P407" s="28"/>
      <c r="Q407" s="28"/>
      <c r="R407" s="28"/>
      <c r="S407" s="28"/>
      <c r="T407" s="28"/>
      <c r="U407" s="28"/>
    </row>
    <row r="408" ht="15.75" customHeight="1">
      <c r="A408" s="28"/>
      <c r="B408" s="28"/>
      <c r="C408" s="28"/>
      <c r="D408" s="28"/>
      <c r="E408" s="28"/>
      <c r="F408" s="28"/>
      <c r="G408" s="28"/>
      <c r="H408" s="28"/>
      <c r="I408" s="28"/>
      <c r="J408" s="28"/>
      <c r="K408" s="28"/>
      <c r="L408" s="28"/>
      <c r="M408" s="28"/>
      <c r="N408" s="28"/>
      <c r="O408" s="28"/>
      <c r="P408" s="28"/>
      <c r="Q408" s="28"/>
      <c r="R408" s="28"/>
      <c r="S408" s="28"/>
      <c r="T408" s="28"/>
      <c r="U408" s="28"/>
    </row>
    <row r="409" ht="15.75" customHeight="1">
      <c r="A409" s="28"/>
      <c r="B409" s="28"/>
      <c r="C409" s="28"/>
      <c r="D409" s="28"/>
      <c r="E409" s="28"/>
      <c r="F409" s="28"/>
      <c r="G409" s="28"/>
      <c r="H409" s="28"/>
      <c r="I409" s="28"/>
      <c r="J409" s="28"/>
      <c r="K409" s="28"/>
      <c r="L409" s="28"/>
      <c r="M409" s="28"/>
      <c r="N409" s="28"/>
      <c r="O409" s="28"/>
      <c r="P409" s="28"/>
      <c r="Q409" s="28"/>
      <c r="R409" s="28"/>
      <c r="S409" s="28"/>
      <c r="T409" s="28"/>
      <c r="U409" s="28"/>
    </row>
    <row r="410" ht="15.75" customHeight="1">
      <c r="A410" s="28"/>
      <c r="B410" s="28"/>
      <c r="C410" s="28"/>
      <c r="D410" s="28"/>
      <c r="E410" s="28"/>
      <c r="F410" s="28"/>
      <c r="G410" s="28"/>
      <c r="H410" s="28"/>
      <c r="I410" s="28"/>
      <c r="J410" s="28"/>
      <c r="K410" s="28"/>
      <c r="L410" s="28"/>
      <c r="M410" s="28"/>
      <c r="N410" s="28"/>
      <c r="O410" s="28"/>
      <c r="P410" s="28"/>
      <c r="Q410" s="28"/>
      <c r="R410" s="28"/>
      <c r="S410" s="28"/>
      <c r="T410" s="28"/>
      <c r="U410" s="28"/>
    </row>
    <row r="411" ht="15.75" customHeight="1">
      <c r="A411" s="28"/>
      <c r="B411" s="28"/>
      <c r="C411" s="28"/>
      <c r="D411" s="28"/>
      <c r="E411" s="28"/>
      <c r="F411" s="28"/>
      <c r="G411" s="28"/>
      <c r="H411" s="28"/>
      <c r="I411" s="28"/>
      <c r="J411" s="28"/>
      <c r="K411" s="28"/>
      <c r="L411" s="28"/>
      <c r="M411" s="28"/>
      <c r="N411" s="28"/>
      <c r="O411" s="28"/>
      <c r="P411" s="28"/>
      <c r="Q411" s="28"/>
      <c r="R411" s="28"/>
      <c r="S411" s="28"/>
      <c r="T411" s="28"/>
      <c r="U411" s="28"/>
    </row>
    <row r="412" ht="15.75" customHeight="1">
      <c r="A412" s="28"/>
      <c r="B412" s="28"/>
      <c r="C412" s="28"/>
      <c r="D412" s="28"/>
      <c r="E412" s="28"/>
      <c r="F412" s="28"/>
      <c r="G412" s="28"/>
      <c r="H412" s="28"/>
      <c r="I412" s="28"/>
      <c r="J412" s="28"/>
      <c r="K412" s="28"/>
      <c r="L412" s="28"/>
      <c r="M412" s="28"/>
      <c r="N412" s="28"/>
      <c r="O412" s="28"/>
      <c r="P412" s="28"/>
      <c r="Q412" s="28"/>
      <c r="R412" s="28"/>
      <c r="S412" s="28"/>
      <c r="T412" s="28"/>
      <c r="U412" s="28"/>
    </row>
    <row r="413" ht="15.75" customHeight="1">
      <c r="A413" s="28"/>
      <c r="B413" s="28"/>
      <c r="C413" s="28"/>
      <c r="D413" s="28"/>
      <c r="E413" s="28"/>
      <c r="F413" s="28"/>
      <c r="G413" s="28"/>
      <c r="H413" s="28"/>
      <c r="I413" s="28"/>
      <c r="J413" s="28"/>
      <c r="K413" s="28"/>
      <c r="L413" s="28"/>
      <c r="M413" s="28"/>
      <c r="N413" s="28"/>
      <c r="O413" s="28"/>
      <c r="P413" s="28"/>
      <c r="Q413" s="28"/>
      <c r="R413" s="28"/>
      <c r="S413" s="28"/>
      <c r="T413" s="28"/>
      <c r="U413" s="28"/>
    </row>
    <row r="414" ht="15.75" customHeight="1">
      <c r="A414" s="28"/>
      <c r="B414" s="28"/>
      <c r="C414" s="28"/>
      <c r="D414" s="28"/>
      <c r="E414" s="28"/>
      <c r="F414" s="28"/>
      <c r="G414" s="28"/>
      <c r="H414" s="28"/>
      <c r="I414" s="28"/>
      <c r="J414" s="28"/>
      <c r="K414" s="28"/>
      <c r="L414" s="28"/>
      <c r="M414" s="28"/>
      <c r="N414" s="28"/>
      <c r="O414" s="28"/>
      <c r="P414" s="28"/>
      <c r="Q414" s="28"/>
      <c r="R414" s="28"/>
      <c r="S414" s="28"/>
      <c r="T414" s="28"/>
      <c r="U414" s="28"/>
    </row>
    <row r="415" ht="15.75" customHeight="1">
      <c r="A415" s="28"/>
      <c r="B415" s="28"/>
      <c r="C415" s="28"/>
      <c r="D415" s="28"/>
      <c r="E415" s="28"/>
      <c r="F415" s="28"/>
      <c r="G415" s="28"/>
      <c r="H415" s="28"/>
      <c r="I415" s="28"/>
      <c r="J415" s="28"/>
      <c r="K415" s="28"/>
      <c r="L415" s="28"/>
      <c r="M415" s="28"/>
      <c r="N415" s="28"/>
      <c r="O415" s="28"/>
      <c r="P415" s="28"/>
      <c r="Q415" s="28"/>
      <c r="R415" s="28"/>
      <c r="S415" s="28"/>
      <c r="T415" s="28"/>
      <c r="U415" s="28"/>
    </row>
    <row r="416" ht="15.75" customHeight="1">
      <c r="A416" s="28"/>
      <c r="B416" s="28"/>
      <c r="C416" s="28"/>
      <c r="D416" s="28"/>
      <c r="E416" s="28"/>
      <c r="F416" s="28"/>
      <c r="G416" s="28"/>
      <c r="H416" s="28"/>
      <c r="I416" s="28"/>
      <c r="J416" s="28"/>
      <c r="K416" s="28"/>
      <c r="L416" s="28"/>
      <c r="M416" s="28"/>
      <c r="N416" s="28"/>
      <c r="O416" s="28"/>
      <c r="P416" s="28"/>
      <c r="Q416" s="28"/>
      <c r="R416" s="28"/>
      <c r="S416" s="28"/>
      <c r="T416" s="28"/>
      <c r="U416" s="28"/>
    </row>
    <row r="417" ht="15.75" customHeight="1">
      <c r="A417" s="28"/>
      <c r="B417" s="28"/>
      <c r="C417" s="28"/>
      <c r="D417" s="28"/>
      <c r="E417" s="28"/>
      <c r="F417" s="28"/>
      <c r="G417" s="28"/>
      <c r="H417" s="28"/>
      <c r="I417" s="28"/>
      <c r="J417" s="28"/>
      <c r="K417" s="28"/>
      <c r="L417" s="28"/>
      <c r="M417" s="28"/>
      <c r="N417" s="28"/>
      <c r="O417" s="28"/>
      <c r="P417" s="28"/>
      <c r="Q417" s="28"/>
      <c r="R417" s="28"/>
      <c r="S417" s="28"/>
      <c r="T417" s="28"/>
      <c r="U417" s="28"/>
    </row>
    <row r="418" ht="15.75" customHeight="1">
      <c r="A418" s="28"/>
      <c r="B418" s="28"/>
      <c r="C418" s="28"/>
      <c r="D418" s="28"/>
      <c r="E418" s="28"/>
      <c r="F418" s="28"/>
      <c r="G418" s="28"/>
      <c r="H418" s="28"/>
      <c r="I418" s="28"/>
      <c r="J418" s="28"/>
      <c r="K418" s="28"/>
      <c r="L418" s="28"/>
      <c r="M418" s="28"/>
      <c r="N418" s="28"/>
      <c r="O418" s="28"/>
      <c r="P418" s="28"/>
      <c r="Q418" s="28"/>
      <c r="R418" s="28"/>
      <c r="S418" s="28"/>
      <c r="T418" s="28"/>
      <c r="U418" s="28"/>
    </row>
    <row r="419" ht="15.75" customHeight="1">
      <c r="A419" s="28"/>
      <c r="B419" s="28"/>
      <c r="C419" s="28"/>
      <c r="D419" s="28"/>
      <c r="E419" s="28"/>
      <c r="F419" s="28"/>
      <c r="G419" s="28"/>
      <c r="H419" s="28"/>
      <c r="I419" s="28"/>
      <c r="J419" s="28"/>
      <c r="K419" s="28"/>
      <c r="L419" s="28"/>
      <c r="M419" s="28"/>
      <c r="N419" s="28"/>
      <c r="O419" s="28"/>
      <c r="P419" s="28"/>
      <c r="Q419" s="28"/>
      <c r="R419" s="28"/>
      <c r="S419" s="28"/>
      <c r="T419" s="28"/>
      <c r="U419" s="28"/>
    </row>
    <row r="420" ht="15.75" customHeight="1">
      <c r="A420" s="28"/>
      <c r="B420" s="28"/>
      <c r="C420" s="28"/>
      <c r="D420" s="28"/>
      <c r="E420" s="28"/>
      <c r="F420" s="28"/>
      <c r="G420" s="28"/>
      <c r="H420" s="28"/>
      <c r="I420" s="28"/>
      <c r="J420" s="28"/>
      <c r="K420" s="28"/>
      <c r="L420" s="28"/>
      <c r="M420" s="28"/>
      <c r="N420" s="28"/>
      <c r="O420" s="28"/>
      <c r="P420" s="28"/>
      <c r="Q420" s="28"/>
      <c r="R420" s="28"/>
      <c r="S420" s="28"/>
      <c r="T420" s="28"/>
      <c r="U420" s="28"/>
    </row>
    <row r="421" ht="15.75" customHeight="1">
      <c r="A421" s="28"/>
      <c r="B421" s="28"/>
      <c r="C421" s="28"/>
      <c r="D421" s="28"/>
      <c r="E421" s="28"/>
      <c r="F421" s="28"/>
      <c r="G421" s="28"/>
      <c r="H421" s="28"/>
      <c r="I421" s="28"/>
      <c r="J421" s="28"/>
      <c r="K421" s="28"/>
      <c r="L421" s="28"/>
      <c r="M421" s="28"/>
      <c r="N421" s="28"/>
      <c r="O421" s="28"/>
      <c r="P421" s="28"/>
      <c r="Q421" s="28"/>
      <c r="R421" s="28"/>
      <c r="S421" s="28"/>
      <c r="T421" s="28"/>
      <c r="U421" s="28"/>
    </row>
    <row r="422" ht="15.75" customHeight="1">
      <c r="A422" s="28"/>
      <c r="B422" s="28"/>
      <c r="C422" s="28"/>
      <c r="D422" s="28"/>
      <c r="E422" s="28"/>
      <c r="F422" s="28"/>
      <c r="G422" s="28"/>
      <c r="H422" s="28"/>
      <c r="I422" s="28"/>
      <c r="J422" s="28"/>
      <c r="K422" s="28"/>
      <c r="L422" s="28"/>
      <c r="M422" s="28"/>
      <c r="N422" s="28"/>
      <c r="O422" s="28"/>
      <c r="P422" s="28"/>
      <c r="Q422" s="28"/>
      <c r="R422" s="28"/>
      <c r="S422" s="28"/>
      <c r="T422" s="28"/>
      <c r="U422" s="28"/>
    </row>
    <row r="423" ht="15.75" customHeight="1">
      <c r="A423" s="28"/>
      <c r="B423" s="28"/>
      <c r="C423" s="28"/>
      <c r="D423" s="28"/>
      <c r="E423" s="28"/>
      <c r="F423" s="28"/>
      <c r="G423" s="28"/>
      <c r="H423" s="28"/>
      <c r="I423" s="28"/>
      <c r="J423" s="28"/>
      <c r="K423" s="28"/>
      <c r="L423" s="28"/>
      <c r="M423" s="28"/>
      <c r="N423" s="28"/>
      <c r="O423" s="28"/>
      <c r="P423" s="28"/>
      <c r="Q423" s="28"/>
      <c r="R423" s="28"/>
      <c r="S423" s="28"/>
      <c r="T423" s="28"/>
      <c r="U423" s="28"/>
    </row>
    <row r="424" ht="15.75" customHeight="1">
      <c r="A424" s="28"/>
      <c r="B424" s="28"/>
      <c r="C424" s="28"/>
      <c r="D424" s="28"/>
      <c r="E424" s="28"/>
      <c r="F424" s="28"/>
      <c r="G424" s="28"/>
      <c r="H424" s="28"/>
      <c r="I424" s="28"/>
      <c r="J424" s="28"/>
      <c r="K424" s="28"/>
      <c r="L424" s="28"/>
      <c r="M424" s="28"/>
      <c r="N424" s="28"/>
      <c r="O424" s="28"/>
      <c r="P424" s="28"/>
      <c r="Q424" s="28"/>
      <c r="R424" s="28"/>
      <c r="S424" s="28"/>
      <c r="T424" s="28"/>
      <c r="U424" s="28"/>
    </row>
    <row r="425" ht="15.75" customHeight="1">
      <c r="A425" s="28"/>
      <c r="B425" s="28"/>
      <c r="C425" s="28"/>
      <c r="D425" s="28"/>
      <c r="E425" s="28"/>
      <c r="F425" s="28"/>
      <c r="G425" s="28"/>
      <c r="H425" s="28"/>
      <c r="I425" s="28"/>
      <c r="J425" s="28"/>
      <c r="K425" s="28"/>
      <c r="L425" s="28"/>
      <c r="M425" s="28"/>
      <c r="N425" s="28"/>
      <c r="O425" s="28"/>
      <c r="P425" s="28"/>
      <c r="Q425" s="28"/>
      <c r="R425" s="28"/>
      <c r="S425" s="28"/>
      <c r="T425" s="28"/>
      <c r="U425" s="28"/>
    </row>
    <row r="426" ht="15.75" customHeight="1">
      <c r="A426" s="28"/>
      <c r="B426" s="28"/>
      <c r="C426" s="28"/>
      <c r="D426" s="28"/>
      <c r="E426" s="28"/>
      <c r="F426" s="28"/>
      <c r="G426" s="28"/>
      <c r="H426" s="28"/>
      <c r="I426" s="28"/>
      <c r="J426" s="28"/>
      <c r="K426" s="28"/>
      <c r="L426" s="28"/>
      <c r="M426" s="28"/>
      <c r="N426" s="28"/>
      <c r="O426" s="28"/>
      <c r="P426" s="28"/>
      <c r="Q426" s="28"/>
      <c r="R426" s="28"/>
      <c r="S426" s="28"/>
      <c r="T426" s="28"/>
      <c r="U426" s="28"/>
    </row>
    <row r="427" ht="15.75" customHeight="1">
      <c r="A427" s="28"/>
      <c r="B427" s="28"/>
      <c r="C427" s="28"/>
      <c r="D427" s="28"/>
      <c r="E427" s="28"/>
      <c r="F427" s="28"/>
      <c r="G427" s="28"/>
      <c r="H427" s="28"/>
      <c r="I427" s="28"/>
      <c r="J427" s="28"/>
      <c r="K427" s="28"/>
      <c r="L427" s="28"/>
      <c r="M427" s="28"/>
      <c r="N427" s="28"/>
      <c r="O427" s="28"/>
      <c r="P427" s="28"/>
      <c r="Q427" s="28"/>
      <c r="R427" s="28"/>
      <c r="S427" s="28"/>
      <c r="T427" s="28"/>
      <c r="U427" s="28"/>
    </row>
    <row r="428" ht="15.75" customHeight="1">
      <c r="A428" s="28"/>
      <c r="B428" s="28"/>
      <c r="C428" s="28"/>
      <c r="D428" s="28"/>
      <c r="E428" s="28"/>
      <c r="F428" s="28"/>
      <c r="G428" s="28"/>
      <c r="H428" s="28"/>
      <c r="I428" s="28"/>
      <c r="J428" s="28"/>
      <c r="K428" s="28"/>
      <c r="L428" s="28"/>
      <c r="M428" s="28"/>
      <c r="N428" s="28"/>
      <c r="O428" s="28"/>
      <c r="P428" s="28"/>
      <c r="Q428" s="28"/>
      <c r="R428" s="28"/>
      <c r="S428" s="28"/>
      <c r="T428" s="28"/>
      <c r="U428" s="28"/>
    </row>
    <row r="429" ht="15.75" customHeight="1">
      <c r="A429" s="28"/>
      <c r="B429" s="28"/>
      <c r="K429" s="28"/>
      <c r="L429" s="28"/>
      <c r="M429" s="28"/>
      <c r="N429" s="28"/>
      <c r="O429" s="28"/>
      <c r="P429" s="28"/>
      <c r="Q429" s="28"/>
      <c r="R429" s="28"/>
      <c r="S429" s="28"/>
      <c r="T429" s="28"/>
      <c r="U429" s="28"/>
    </row>
    <row r="430" ht="15.75" customHeight="1">
      <c r="A430" s="28"/>
      <c r="B430" s="28"/>
      <c r="K430" s="28"/>
      <c r="L430" s="28"/>
      <c r="M430" s="28"/>
      <c r="N430" s="28"/>
      <c r="O430" s="28"/>
      <c r="P430" s="28"/>
      <c r="Q430" s="28"/>
      <c r="R430" s="28"/>
      <c r="S430" s="28"/>
      <c r="T430" s="28"/>
      <c r="U430" s="28"/>
    </row>
    <row r="431" ht="15.75" customHeight="1">
      <c r="A431" s="28"/>
      <c r="B431" s="28"/>
      <c r="K431" s="28"/>
      <c r="L431" s="28"/>
      <c r="M431" s="28"/>
      <c r="N431" s="28"/>
      <c r="O431" s="28"/>
      <c r="P431" s="28"/>
      <c r="Q431" s="28"/>
      <c r="R431" s="28"/>
      <c r="S431" s="28"/>
      <c r="T431" s="28"/>
      <c r="U431" s="28"/>
    </row>
    <row r="432" ht="15.75" customHeight="1">
      <c r="A432" s="28"/>
      <c r="B432" s="28"/>
      <c r="K432" s="28"/>
      <c r="L432" s="28"/>
      <c r="M432" s="28"/>
      <c r="N432" s="28"/>
      <c r="O432" s="28"/>
      <c r="P432" s="28"/>
      <c r="Q432" s="28"/>
      <c r="R432" s="28"/>
      <c r="S432" s="28"/>
      <c r="T432" s="28"/>
      <c r="U432" s="28"/>
    </row>
    <row r="433" ht="15.75" customHeight="1">
      <c r="A433" s="28"/>
      <c r="B433" s="28"/>
      <c r="K433" s="28"/>
      <c r="L433" s="28"/>
      <c r="M433" s="28"/>
      <c r="N433" s="28"/>
      <c r="O433" s="28"/>
      <c r="P433" s="28"/>
      <c r="Q433" s="28"/>
      <c r="R433" s="28"/>
      <c r="S433" s="28"/>
      <c r="T433" s="28"/>
      <c r="U433" s="28"/>
    </row>
    <row r="434" ht="15.75" customHeight="1">
      <c r="A434" s="28"/>
      <c r="B434" s="28"/>
      <c r="K434" s="28"/>
      <c r="L434" s="28"/>
      <c r="M434" s="28"/>
      <c r="N434" s="28"/>
      <c r="O434" s="28"/>
      <c r="P434" s="28"/>
      <c r="Q434" s="28"/>
      <c r="R434" s="28"/>
      <c r="S434" s="28"/>
      <c r="T434" s="28"/>
      <c r="U434" s="28"/>
    </row>
    <row r="435" ht="15.75" customHeight="1">
      <c r="A435" s="28"/>
      <c r="B435" s="28"/>
      <c r="K435" s="28"/>
      <c r="L435" s="28"/>
      <c r="M435" s="28"/>
      <c r="N435" s="28"/>
      <c r="O435" s="28"/>
      <c r="P435" s="28"/>
      <c r="Q435" s="28"/>
      <c r="R435" s="28"/>
      <c r="S435" s="28"/>
      <c r="T435" s="28"/>
      <c r="U435" s="28"/>
    </row>
    <row r="436" ht="15.75" customHeight="1">
      <c r="A436" s="28"/>
      <c r="B436" s="28"/>
      <c r="K436" s="28"/>
      <c r="L436" s="28"/>
      <c r="M436" s="28"/>
      <c r="N436" s="28"/>
      <c r="O436" s="28"/>
      <c r="P436" s="28"/>
      <c r="Q436" s="28"/>
      <c r="R436" s="28"/>
      <c r="S436" s="28"/>
      <c r="T436" s="28"/>
      <c r="U436" s="28"/>
    </row>
    <row r="437" ht="15.75" customHeight="1">
      <c r="A437" s="28"/>
      <c r="B437" s="28"/>
      <c r="K437" s="28"/>
      <c r="L437" s="28"/>
      <c r="M437" s="28"/>
      <c r="N437" s="28"/>
      <c r="O437" s="28"/>
      <c r="P437" s="28"/>
      <c r="Q437" s="28"/>
      <c r="R437" s="28"/>
      <c r="S437" s="28"/>
      <c r="T437" s="28"/>
      <c r="U437" s="28"/>
    </row>
    <row r="438" ht="15.75" customHeight="1">
      <c r="A438" s="28"/>
      <c r="B438" s="28"/>
      <c r="K438" s="28"/>
      <c r="L438" s="28"/>
      <c r="M438" s="28"/>
      <c r="N438" s="28"/>
      <c r="O438" s="28"/>
      <c r="P438" s="28"/>
      <c r="Q438" s="28"/>
      <c r="R438" s="28"/>
      <c r="S438" s="28"/>
      <c r="T438" s="28"/>
      <c r="U438" s="28"/>
    </row>
    <row r="439" ht="15.75" customHeight="1">
      <c r="A439" s="28"/>
      <c r="B439" s="28"/>
      <c r="K439" s="28"/>
      <c r="L439" s="28"/>
      <c r="M439" s="28"/>
      <c r="N439" s="28"/>
      <c r="O439" s="28"/>
      <c r="P439" s="28"/>
      <c r="Q439" s="28"/>
      <c r="R439" s="28"/>
      <c r="S439" s="28"/>
      <c r="T439" s="28"/>
      <c r="U439" s="28"/>
    </row>
    <row r="440" ht="15.75" customHeight="1">
      <c r="A440" s="28"/>
      <c r="B440" s="28"/>
      <c r="K440" s="28"/>
      <c r="L440" s="28"/>
      <c r="M440" s="28"/>
      <c r="N440" s="28"/>
      <c r="O440" s="28"/>
      <c r="P440" s="28"/>
      <c r="Q440" s="28"/>
      <c r="R440" s="28"/>
      <c r="S440" s="28"/>
      <c r="T440" s="28"/>
      <c r="U440" s="28"/>
    </row>
    <row r="441" ht="15.75" customHeight="1">
      <c r="A441" s="28"/>
      <c r="B441" s="28"/>
      <c r="K441" s="28"/>
      <c r="L441" s="28"/>
      <c r="M441" s="28"/>
      <c r="N441" s="28"/>
      <c r="O441" s="28"/>
      <c r="P441" s="28"/>
      <c r="Q441" s="28"/>
      <c r="R441" s="28"/>
      <c r="S441" s="28"/>
      <c r="T441" s="28"/>
      <c r="U441" s="28"/>
    </row>
    <row r="442" ht="15.75" customHeight="1">
      <c r="A442" s="28"/>
      <c r="B442" s="28"/>
      <c r="K442" s="28"/>
      <c r="L442" s="28"/>
      <c r="M442" s="28"/>
      <c r="N442" s="28"/>
      <c r="O442" s="28"/>
      <c r="P442" s="28"/>
      <c r="Q442" s="28"/>
      <c r="R442" s="28"/>
      <c r="S442" s="28"/>
      <c r="T442" s="28"/>
      <c r="U442" s="28"/>
    </row>
    <row r="443" ht="15.75" customHeight="1">
      <c r="A443" s="28"/>
      <c r="B443" s="28"/>
      <c r="K443" s="28"/>
      <c r="L443" s="28"/>
      <c r="M443" s="28"/>
      <c r="N443" s="28"/>
      <c r="O443" s="28"/>
      <c r="P443" s="28"/>
      <c r="Q443" s="28"/>
      <c r="R443" s="28"/>
      <c r="S443" s="28"/>
      <c r="T443" s="28"/>
      <c r="U443" s="28"/>
    </row>
    <row r="444" ht="15.75" customHeight="1">
      <c r="A444" s="28"/>
      <c r="B444" s="28"/>
      <c r="K444" s="28"/>
      <c r="L444" s="28"/>
      <c r="M444" s="28"/>
      <c r="N444" s="28"/>
      <c r="O444" s="28"/>
      <c r="P444" s="28"/>
      <c r="Q444" s="28"/>
      <c r="R444" s="28"/>
      <c r="S444" s="28"/>
      <c r="T444" s="28"/>
      <c r="U444" s="28"/>
    </row>
    <row r="445" ht="15.75" customHeight="1">
      <c r="A445" s="28"/>
      <c r="B445" s="28"/>
      <c r="K445" s="28"/>
      <c r="L445" s="28"/>
      <c r="M445" s="28"/>
      <c r="N445" s="28"/>
      <c r="O445" s="28"/>
      <c r="P445" s="28"/>
      <c r="Q445" s="28"/>
      <c r="R445" s="28"/>
      <c r="S445" s="28"/>
      <c r="T445" s="28"/>
      <c r="U445" s="28"/>
    </row>
    <row r="446" ht="15.75" customHeight="1">
      <c r="A446" s="28"/>
      <c r="B446" s="28"/>
      <c r="K446" s="28"/>
      <c r="L446" s="28"/>
      <c r="M446" s="28"/>
      <c r="N446" s="28"/>
      <c r="O446" s="28"/>
      <c r="P446" s="28"/>
      <c r="Q446" s="28"/>
      <c r="R446" s="28"/>
      <c r="S446" s="28"/>
      <c r="T446" s="28"/>
      <c r="U446" s="28"/>
    </row>
    <row r="447" ht="15.75" customHeight="1">
      <c r="A447" s="28"/>
      <c r="B447" s="28"/>
      <c r="K447" s="28"/>
      <c r="L447" s="28"/>
      <c r="M447" s="28"/>
      <c r="N447" s="28"/>
      <c r="O447" s="28"/>
      <c r="P447" s="28"/>
      <c r="Q447" s="28"/>
      <c r="R447" s="28"/>
      <c r="S447" s="28"/>
      <c r="T447" s="28"/>
      <c r="U447" s="28"/>
    </row>
    <row r="448" ht="15.75" customHeight="1">
      <c r="A448" s="28"/>
      <c r="B448" s="28"/>
      <c r="K448" s="28"/>
      <c r="L448" s="28"/>
      <c r="M448" s="28"/>
      <c r="N448" s="28"/>
      <c r="O448" s="28"/>
      <c r="P448" s="28"/>
      <c r="Q448" s="28"/>
      <c r="R448" s="28"/>
      <c r="S448" s="28"/>
      <c r="T448" s="28"/>
      <c r="U448" s="28"/>
    </row>
    <row r="449" ht="15.75" customHeight="1">
      <c r="A449" s="28"/>
      <c r="B449" s="28"/>
      <c r="K449" s="28"/>
      <c r="L449" s="28"/>
      <c r="M449" s="28"/>
      <c r="N449" s="28"/>
      <c r="O449" s="28"/>
      <c r="P449" s="28"/>
      <c r="Q449" s="28"/>
      <c r="R449" s="28"/>
      <c r="S449" s="28"/>
      <c r="T449" s="28"/>
      <c r="U449" s="28"/>
    </row>
    <row r="450" ht="15.75" customHeight="1">
      <c r="A450" s="28"/>
      <c r="B450" s="28"/>
      <c r="K450" s="28"/>
      <c r="L450" s="28"/>
      <c r="M450" s="28"/>
      <c r="N450" s="28"/>
      <c r="O450" s="28"/>
      <c r="P450" s="28"/>
      <c r="Q450" s="28"/>
      <c r="R450" s="28"/>
      <c r="S450" s="28"/>
      <c r="T450" s="28"/>
      <c r="U450" s="28"/>
    </row>
    <row r="451" ht="15.75" customHeight="1">
      <c r="A451" s="28"/>
      <c r="B451" s="28"/>
      <c r="K451" s="28"/>
      <c r="L451" s="28"/>
      <c r="M451" s="28"/>
      <c r="N451" s="28"/>
      <c r="O451" s="28"/>
      <c r="P451" s="28"/>
      <c r="Q451" s="28"/>
      <c r="R451" s="28"/>
      <c r="S451" s="28"/>
      <c r="T451" s="28"/>
      <c r="U451" s="28"/>
    </row>
    <row r="452" ht="15.75" customHeight="1">
      <c r="A452" s="28"/>
      <c r="B452" s="28"/>
      <c r="K452" s="28"/>
      <c r="L452" s="28"/>
      <c r="M452" s="28"/>
      <c r="N452" s="28"/>
      <c r="O452" s="28"/>
      <c r="P452" s="28"/>
      <c r="Q452" s="28"/>
      <c r="R452" s="28"/>
      <c r="S452" s="28"/>
      <c r="T452" s="28"/>
      <c r="U452" s="28"/>
    </row>
    <row r="453" ht="15.75" customHeight="1">
      <c r="A453" s="28"/>
      <c r="B453" s="28"/>
      <c r="K453" s="28"/>
      <c r="L453" s="28"/>
      <c r="M453" s="28"/>
      <c r="N453" s="28"/>
      <c r="O453" s="28"/>
      <c r="P453" s="28"/>
      <c r="Q453" s="28"/>
      <c r="R453" s="28"/>
      <c r="S453" s="28"/>
      <c r="T453" s="28"/>
      <c r="U453" s="28"/>
    </row>
    <row r="454" ht="15.75" customHeight="1">
      <c r="A454" s="28"/>
      <c r="B454" s="28"/>
      <c r="K454" s="28"/>
      <c r="L454" s="28"/>
      <c r="M454" s="28"/>
      <c r="N454" s="28"/>
      <c r="O454" s="28"/>
      <c r="P454" s="28"/>
      <c r="Q454" s="28"/>
      <c r="R454" s="28"/>
      <c r="S454" s="28"/>
      <c r="T454" s="28"/>
      <c r="U454" s="28"/>
    </row>
    <row r="455" ht="15.75" customHeight="1">
      <c r="A455" s="28"/>
      <c r="B455" s="28"/>
      <c r="K455" s="28"/>
      <c r="L455" s="28"/>
      <c r="M455" s="28"/>
      <c r="N455" s="28"/>
      <c r="O455" s="28"/>
      <c r="P455" s="28"/>
      <c r="Q455" s="28"/>
      <c r="R455" s="28"/>
      <c r="S455" s="28"/>
      <c r="T455" s="28"/>
      <c r="U455" s="28"/>
    </row>
    <row r="456" ht="15.75" customHeight="1">
      <c r="A456" s="28"/>
      <c r="B456" s="28"/>
      <c r="K456" s="28"/>
      <c r="L456" s="28"/>
      <c r="M456" s="28"/>
      <c r="N456" s="28"/>
      <c r="O456" s="28"/>
      <c r="P456" s="28"/>
      <c r="Q456" s="28"/>
      <c r="R456" s="28"/>
      <c r="S456" s="28"/>
      <c r="T456" s="28"/>
      <c r="U456" s="28"/>
    </row>
    <row r="457" ht="15.75" customHeight="1">
      <c r="L457" s="28"/>
      <c r="M457" s="28"/>
      <c r="N457" s="28"/>
      <c r="O457" s="28"/>
      <c r="P457" s="28"/>
      <c r="Q457" s="28"/>
      <c r="R457" s="28"/>
      <c r="S457" s="28"/>
      <c r="T457" s="28"/>
      <c r="U457" s="28"/>
    </row>
    <row r="458" ht="15.75" customHeight="1">
      <c r="L458" s="28"/>
      <c r="M458" s="28"/>
      <c r="N458" s="28"/>
      <c r="O458" s="28"/>
      <c r="P458" s="28"/>
      <c r="Q458" s="28"/>
      <c r="R458" s="28"/>
      <c r="S458" s="28"/>
      <c r="T458" s="28"/>
      <c r="U458" s="28"/>
    </row>
    <row r="459" ht="15.75" customHeight="1">
      <c r="L459" s="28"/>
      <c r="M459" s="28"/>
      <c r="N459" s="28"/>
      <c r="O459" s="28"/>
      <c r="P459" s="28"/>
      <c r="Q459" s="28"/>
      <c r="R459" s="28"/>
      <c r="S459" s="28"/>
      <c r="T459" s="28"/>
      <c r="U459" s="28"/>
    </row>
    <row r="460" ht="15.75" customHeight="1">
      <c r="L460" s="28"/>
      <c r="M460" s="28"/>
      <c r="N460" s="28"/>
      <c r="O460" s="28"/>
      <c r="P460" s="28"/>
      <c r="Q460" s="28"/>
      <c r="R460" s="28"/>
      <c r="S460" s="28"/>
      <c r="T460" s="28"/>
      <c r="U460" s="28"/>
    </row>
    <row r="461" ht="15.75" customHeight="1">
      <c r="L461" s="28"/>
      <c r="M461" s="28"/>
      <c r="N461" s="28"/>
      <c r="O461" s="28"/>
      <c r="P461" s="28"/>
      <c r="Q461" s="28"/>
      <c r="R461" s="28"/>
      <c r="S461" s="28"/>
      <c r="T461" s="28"/>
      <c r="U461" s="28"/>
    </row>
    <row r="462" ht="15.75" customHeight="1">
      <c r="L462" s="28"/>
      <c r="S462" s="28"/>
      <c r="T462" s="28"/>
      <c r="U462" s="28"/>
    </row>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sheetData>
  <mergeCells count="87">
    <mergeCell ref="W52:X52"/>
    <mergeCell ref="W53:X53"/>
    <mergeCell ref="W54:X54"/>
    <mergeCell ref="W55:X55"/>
    <mergeCell ref="W56:X56"/>
    <mergeCell ref="W57:X57"/>
    <mergeCell ref="W58:X58"/>
    <mergeCell ref="W59:X59"/>
    <mergeCell ref="W60:X60"/>
    <mergeCell ref="W61:X61"/>
    <mergeCell ref="W62:X62"/>
    <mergeCell ref="W63:X63"/>
    <mergeCell ref="W64:X64"/>
    <mergeCell ref="W65:X65"/>
    <mergeCell ref="W66:X66"/>
    <mergeCell ref="W67:X67"/>
    <mergeCell ref="B83:S83"/>
    <mergeCell ref="B128:S128"/>
    <mergeCell ref="B206:S206"/>
    <mergeCell ref="C208:J208"/>
    <mergeCell ref="L208:S208"/>
    <mergeCell ref="M231:P231"/>
    <mergeCell ref="M237:P237"/>
    <mergeCell ref="M238:O238"/>
    <mergeCell ref="M240:P240"/>
    <mergeCell ref="M242:N242"/>
    <mergeCell ref="M245:N245"/>
    <mergeCell ref="M246:N246"/>
    <mergeCell ref="M266:N266"/>
    <mergeCell ref="M267:N267"/>
    <mergeCell ref="M269:Q271"/>
    <mergeCell ref="M250:Q250"/>
    <mergeCell ref="M252:N252"/>
    <mergeCell ref="M255:N255"/>
    <mergeCell ref="M262:N262"/>
    <mergeCell ref="M263:N263"/>
    <mergeCell ref="M264:N264"/>
    <mergeCell ref="M265:N265"/>
    <mergeCell ref="W1:X1"/>
    <mergeCell ref="C3:J3"/>
    <mergeCell ref="Q3:S3"/>
    <mergeCell ref="B4:S4"/>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W21:X21"/>
    <mergeCell ref="W22:X22"/>
    <mergeCell ref="W23:X23"/>
    <mergeCell ref="W24:X24"/>
    <mergeCell ref="W25:X25"/>
    <mergeCell ref="W26:X26"/>
    <mergeCell ref="W27:X27"/>
    <mergeCell ref="W28:X28"/>
    <mergeCell ref="W29:X29"/>
    <mergeCell ref="W31:X31"/>
    <mergeCell ref="W32:X32"/>
    <mergeCell ref="W33:X33"/>
    <mergeCell ref="W34:X34"/>
    <mergeCell ref="W35:X35"/>
    <mergeCell ref="W36:X36"/>
    <mergeCell ref="W37:X37"/>
    <mergeCell ref="W38:X38"/>
    <mergeCell ref="W39:X39"/>
    <mergeCell ref="W40:X40"/>
    <mergeCell ref="W41:X41"/>
    <mergeCell ref="W42:X42"/>
    <mergeCell ref="W43:X43"/>
    <mergeCell ref="W44:X44"/>
    <mergeCell ref="W45:X45"/>
    <mergeCell ref="W46:X46"/>
    <mergeCell ref="W47:X47"/>
    <mergeCell ref="W48:X48"/>
    <mergeCell ref="W49:X49"/>
    <mergeCell ref="W50:X50"/>
    <mergeCell ref="W51:X51"/>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