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Escenario Base (Conservador) " sheetId="1" r:id="rId4"/>
  </sheets>
  <definedNames/>
  <calcPr/>
  <extLst>
    <ext uri="GoogleSheetsCustomDataVersion2">
      <go:sheetsCustomData xmlns:go="http://customooxmlschemas.google.com/" r:id="rId5" roundtripDataChecksum="PIlSBrY1ObxJ9u/yG0RdnZSOYjB8zues0kbiehFToZM="/>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J248">
      <text>
        <t xml:space="preserve">======
ID#AAABj55dpmo
Noely Dhalton Diokila Mendez    (2025-05-20 14:13:11)
122$</t>
      </text>
    </comment>
    <comment authorId="0" ref="P168">
      <text>
        <t xml:space="preserve">======
ID#AAABj69AL38
Noely Dhalton Diokila Mendez    (2025-05-20 12:54:06)
AÚN NO HAN SALIDO LAS CIFRAS DESGLOSADAS</t>
      </text>
    </comment>
    <comment authorId="0" ref="R85">
      <text>
        <t xml:space="preserve">======
ID#AAABj69AL3k
Noely Dhalton Diokila Mendez    (2025-05-20 12:07:28)
mejora de 40 puntos básicos anuales a medida que va ganando escala y hace eficientes sus divisiones.</t>
      </text>
    </comment>
    <comment authorId="0" ref="Q51">
      <text>
        <t xml:space="preserve">======
ID#AAABj69AL20
Noely Dhalton Diokila Mendez    (2025-05-20 11:55:41)
Los tipos en China están al 3% y no esperamos muchas más variaciones.</t>
      </text>
    </comment>
    <comment authorId="0" ref="Q18">
      <text>
        <t xml:space="preserve">======
ID#AAABj69AL2k
Noely Dhalton Diokila Mendez    (2025-05-20 11:36:23)
Mientras se estabiliza. La reducción de ingresos de Cainiao se debe, según expone el Grupo Alibaba en la presentación de los resultados del tercer trimestre de 2024, a las reestructuraciones en curso, “en las que nuestros negocios de comercio electrónico asumen ciertas funciones de plataforma logística”.
La compañía indicó que Cainiao “continuará centrándose en la construcción de su red logística inteligente global y en poner sus capacidades logísticas “end-to-end” a disposición de nuestros propios negocios de comercio electrónico, así como de terceros”.
------
ID#AAABj69AL2o
Noely Dhalton Diokila Mendez    (2025-05-20 11:39:18)
Sigue sin quedar muy claro que está pasando en el que era hasta hace nada, mi segmento favorito del grupo. Se habla de una reestructuración, quizás derivada de la fallida salida a bolsa, y de mayor competencia. Yo creo que, una vez se reactive la demanda asiática, es una división que debería hacerlo muy bien.</t>
      </text>
    </comment>
    <comment authorId="0" ref="R16">
      <text>
        <t xml:space="preserve">======
ID#AAABj69AL2c
Noely Dhalton Diokila Mendez    (2025-05-20 11:32:22)
Con un entorno más favorable podríamos esperar que se acelere el crecimiento, pero también tiene una escala ya bastante interesante que debe irse normalizando. Aün así esperamos crecimientos de doble dígito en el escenario proyectado hasta 2030</t>
      </text>
    </comment>
    <comment authorId="0" ref="Q14">
      <text>
        <t xml:space="preserve">======
ID#AAABj69AL2U
Noely Dhalton Diokila Mendez    (2025-05-20 11:29:43)
Gracias principalmente a la IA, se está acelerando considerablemente el crecimiento del Cloud, y aún esperamos un efecto de crecimiento de doble dígito este año.
------
ID#AAABj69AL2Y
Noely Dhalton Diokila Mendez    (2025-05-20 11:30:07)
Ya en el Q4 crecía al 18% por lo que podemos tener un crecimimiento notablemente mayor.</t>
      </text>
    </comment>
    <comment authorId="0" ref="Q12">
      <text>
        <t xml:space="preserve">======
ID#AAABj69AL2Q
Noely Dhalton Diokila Mendez    (2025-05-20 11:28:01)
Ya en el Q4 2025 se aceleró bastante al +9%, pareciese que lo peor ha pasado. Proyectamos, de forma conservadora, crecimientos de medio dígito aún con una China muy debilitada por el entorno macro.</t>
      </text>
    </comment>
    <comment authorId="0" ref="P26">
      <text>
        <t xml:space="preserve">======
ID#AAABj69AL2M
Noely Dhalton Diokila Mendez    (2025-05-20 11:16:51)
Muy superior al +9% que esperábamos, lo que lastra al grupo en su conjunto y equilibra nuestras estimaciones globales.</t>
      </text>
    </comment>
    <comment authorId="0" ref="P24">
      <text>
        <t xml:space="preserve">======
ID#AAABj69AL2I
Noely Dhalton Diokila Mendez    (2025-05-20 11:16:08)
por encima del 0% que estimábamos.</t>
      </text>
    </comment>
    <comment authorId="0" ref="P22">
      <text>
        <t xml:space="preserve">======
ID#AAABj69AL2E
Noely Dhalton Diokila Mendez    (2025-05-20 11:15:49)
En linea con nuestro +4% estimado.</t>
      </text>
    </comment>
    <comment authorId="0" ref="P20">
      <text>
        <t xml:space="preserve">======
ID#AAABj69AL2A
Noely Dhalton Diokila Mendez    (2025-05-20 11:15:36)
Por encima del 7% que estimábamos.</t>
      </text>
    </comment>
    <comment authorId="0" ref="P18">
      <text>
        <t xml:space="preserve">======
ID#AAABj69AL18
Noely Dhalton Diokila Mendez    (2025-05-20 11:15:25)
La gran decepción, muy inferior al 12% que estimábamos.</t>
      </text>
    </comment>
    <comment authorId="0" ref="P16">
      <text>
        <t xml:space="preserve">======
ID#AAABj69AL14
Noely Dhalton Diokila Mendez    (2025-05-20 11:15:05)
El doble de nuestro 15% estimado originalmente.</t>
      </text>
    </comment>
    <comment authorId="0" ref="P14">
      <text>
        <t xml:space="preserve">======
ID#AAABj69AL10
Noely Dhalton Diokila Mendez    (2025-05-20 11:14:47)
Supera notablemente nuestro 3% estimado con una gran aceleración en el H2 y especialmente el Q4.</t>
      </text>
    </comment>
    <comment authorId="0" ref="P12">
      <text>
        <t xml:space="preserve">======
ID#AAABj69AL1w
Noely Dhalton Diokila Mendez    (2025-05-20 11:14:22)
Supera nuestro 2% estimado gracias a una buena recuperación en el H2 y Q4 especialmente.</t>
      </text>
    </comment>
    <comment authorId="0" ref="J257">
      <text>
        <t xml:space="preserve">======
ID#AAABQpRp3Gc
The Phoenix Capital    (2024-07-04 14:54:49)
es más alto que el actual por que estoy queriendo incluir la dilución de stock options</t>
      </text>
    </comment>
    <comment authorId="0" ref="P188">
      <text>
        <t xml:space="preserve">======
ID#AAABQQRjiHs
The Phoenix Capital    (2024-06-24 19:17:01)
ASEGURARSE DE CAMBIAR LA DIVISA, AHORA ESTÁ CAMBIADA DE YUANES A USD. SI ES EUROS HABRÍA QUE AJUSTARLO EN LA FÓRMULA DEL DESPLEGABLE
la compañía reveló el mencionado aumento de 25.000 millones de dólares para su programa de recompra de acciones, que quedará elevado a un total de unos 35.300 millones de dólares a lo largo de sus próximos tres años fiscales. "Esto demuestra nuestra confianza en las perspectivas de nuestros negocios y de nuestro flujo de caja. Nuestras constantes recompras de acciones también han reducido el conteo de acciones en circulación al tiempo que consiguen un aumento del beneficio y el flujo de caja por acción"
------
ID#AAABQQRjiHw
The Phoenix Capital    (2024-06-24 19:18:00)
Por ende proyectaré 12.000 millones de dolares anuales en recompras, el equivalente a 87106 yuanes anuales</t>
      </text>
    </comment>
    <comment authorId="0" ref="P180">
      <text>
        <t xml:space="preserve">======
ID#AAABQQRjiHc
The Phoenix Capital    (2024-06-24 19:08:36)
Media historica como % del cash flow de operaciones
------
ID#AAABQQRjiHg
The Phoenix Capital    (2024-06-24 19:09:23)
Lo anulo por que yo tomo el efectivo y equivalentes total, así que no puedo penalizar lo que invierten en renta variable que también es en parte efectivo y equivalentes</t>
      </text>
    </comment>
    <comment authorId="0" ref="P179">
      <text>
        <t xml:space="preserve">======
ID#AAABQQRjiHY
The Phoenix Capital    (2024-06-24 19:04:02)
No proyecto mayores desinversiones</t>
      </text>
    </comment>
    <comment authorId="0" ref="P178">
      <text>
        <t xml:space="preserve">======
ID#AAABQQRjiHU
The Phoenix Capital    (2024-06-24 19:03:40)
No proyecto adquisiciones</t>
      </text>
    </comment>
    <comment authorId="0" ref="B72">
      <text>
        <t xml:space="preserve">======
ID#AAABQQRjiHE
The Phoenix Capital    (2024-06-24 18:49:03)
En Yuanes, por cada ADR, no por cada accion de hong kong.</t>
      </text>
    </comment>
    <comment authorId="0" ref="P68">
      <text>
        <t xml:space="preserve">======
ID#AAABQQRjiHA
The Phoenix Capital    (2024-06-24 18:35:04)
Incluyen recompras del 3% anual y 2% los próximos años.</t>
      </text>
    </comment>
    <comment authorId="0" ref="P81">
      <text>
        <t xml:space="preserve">======
ID#AAABQQRjiG8
The Phoenix Capital    (2024-06-24 18:32:48)
Creo que mantendrá el Payout en el 25%, y destinará más en recompras, lo cual tiene todo el sentido del mundo.</t>
      </text>
    </comment>
    <comment authorId="0" ref="P91">
      <text>
        <t xml:space="preserve">======
ID#AAABQQRjiG0
The Phoenix Capital    (2024-06-24 18:08:56)
Calculado como la media de los últimos 6 años</t>
      </text>
    </comment>
    <comment authorId="0" ref="O54">
      <text>
        <t xml:space="preserve">======
ID#AAABQQRjiGw
The Phoenix Capital    (2024-06-24 18:07:55)
Principalmente impairments, multas del gobierno y devaluaciones de activos.</t>
      </text>
    </comment>
    <comment authorId="0" ref="O35">
      <text>
        <t xml:space="preserve">======
ID#AAABQQRjiGo
The Phoenix Capital    (2024-06-24 18:04:11)
Los hay, son unos 18000 pero es que la compañía los diluye en cada partida. Así que lo pondremos en el cash flow.</t>
      </text>
    </comment>
    <comment authorId="0" ref="P32">
      <text>
        <t xml:space="preserve">======
ID#AAABQQRjiGc
The Phoenix Capital    (2024-06-24 17:51:09)
Considero que el margen bruto debería de seguir mejorando conforme se hacen más eficientes en los pilares en los que aún no son rentables, especialmente por el crecimiento de la red logística, el segmento internacional y a medida que la nube se hace eficiente gracias a menores costes .
------
ID#AAABj69AL2s
Noely Dhalton Diokila Mendez    (2025-05-20 11:41:49)
El resultado a sido bastante superior a lo esperado.</t>
      </text>
    </comment>
    <comment authorId="0" ref="P36">
      <text>
        <t xml:space="preserve">======
ID#AAABQQRjiGU
The Phoenix Capital    (2024-06-24 17:49:45)
Creo que pueden seguir reduciendo los costos de I+D conforme se van haciendo más eficientes en los pilares no rentables (aún)</t>
      </text>
    </comment>
    <comment authorId="0" ref="J267">
      <text>
        <t xml:space="preserve">======
ID#AAABONoV3YQ
The Phoenix Capital    (2024-06-23 08:38:33)
- Si IRR rango alto es superior al 15% y IRR rango alto es superior al 10% entonces comprar. 
- Si IRR Rango Alto es superior al 20% e IRR bajo superior al 15%, comprar fuerte y convertir en Top Holding. // Vender Opciones PUT hasta ejecutar.  
- SI IRR alto está entre 10-15%, mantener/esperar.
- Si IRR alto es inferior al 10%, reducir 50%/no comprar. 
- Si IRR alto es 5-8% no comprar/vender. 
- Si IRR alto es negativo, vender calls.</t>
      </text>
    </comment>
    <comment authorId="0" ref="B93">
      <text>
        <t xml:space="preserve">======
ID#AAABONoV3YI
The Phoenix Capital    (2024-06-23 08:30:39)
No a lugar en GAAP</t>
      </text>
    </comment>
    <comment authorId="0" ref="J244">
      <text>
        <t xml:space="preserve">======
ID#AAABOMwbcs8
The Phoenix Capital    (2024-06-21 21:40:20)
Según fórmula de Valuation</t>
      </text>
    </comment>
    <comment authorId="0" ref="J187">
      <text>
        <t xml:space="preserve">======
ID#AAABOMwbcrg
The Phoenix Capital    (2024-06-21 20:10:55)
Es americana, no se incluye aquí</t>
      </text>
    </comment>
    <comment authorId="0" ref="W7">
      <text>
        <t xml:space="preserve">======
ID#AAABOLMUGRw
The Phoenix Capital    (2024-06-16 07:29:48)
La mejora vendría post 2027 por expansión de ingresos y márgenes</t>
      </text>
    </comment>
    <comment authorId="0" ref="J254">
      <text>
        <t xml:space="preserve">======
ID#AAABOIvaQM4
The Phoenix Capital    (2024-06-14 14:47:55)
Sale de la tabla del final, donde se calcula el dividendo medio anual sobre el precio actual y se suma.</t>
      </text>
    </comment>
    <comment authorId="0" ref="N200">
      <text>
        <t xml:space="preserve">======
ID#AAABPsvxT6k
The Phoenix Capital    (2024-06-08 21:26:39)
se empieza a aplicar la NIIF16</t>
      </text>
    </comment>
    <comment authorId="0" ref="C200">
      <text>
        <t xml:space="preserve">======
ID#AAABPsvxT6g
The Phoenix Capital    (2024-06-08 21:26:05)
EBIT - impuestos + dya - capex (incluyendo compra de intangibles) - arrendamientos (en europa)</t>
      </text>
    </comment>
    <comment authorId="0" ref="R276">
      <text>
        <t xml:space="preserve">======
ID#AAABN7aq49c
The Phoenix Capital    (2024-05-23 19:42:46)
SIn descuento</t>
      </text>
    </comment>
    <comment authorId="0" ref="R282">
      <text>
        <t xml:space="preserve">======
ID#AAABNFmu-mM
The Phoenix Capital    (2024-05-12 18:56:56)
Atentos a los ajustes de los ciclos de CAGR</t>
      </text>
    </comment>
    <comment authorId="0" ref="J265">
      <text>
        <t xml:space="preserve">======
ID#AAABNFmu-mI
The Phoenix Capital    (2024-05-12 18:56:36)
Para un retorno sobre la valoración ABYA de seguridad del 10% al menos.</t>
      </text>
    </comment>
    <comment authorId="0" ref="C186">
      <text>
        <t xml:space="preserve">======
ID#AAABNFmu-lM
The Phoenix Capital    (2024-05-12 17:29:45)
Partida externa, cuidado de no meterla en el sumatorio del cash flow normalizado</t>
      </text>
    </comment>
    <comment authorId="0" ref="B51">
      <text>
        <t xml:space="preserve">======
ID#AAABNcwXVaI
The Phoenix Capital    (2024-05-11 19:05:29)
Perdidas cambiarias e ingresos/perdidas sobre capital invertido</t>
      </text>
    </comment>
    <comment authorId="0" ref="B202">
      <text>
        <t xml:space="preserve">======
ID#AAABKnaYmjs
The Phoenix Capital    (2024-04-13 20:50:56)
Siempre que la conversión Beneficio Neto/FCF sea mayor del 80% es fiable el Sistema ABYA. Cuanto más, más fiable y menos descuento es necesario.</t>
      </text>
    </comment>
    <comment authorId="0" ref="B169">
      <text>
        <t xml:space="preserve">======
ID#AAABKnaYmjc
The Phoenix Capital    (2024-04-13 20:12:37)
seguridad social, pensiones, etc.</t>
      </text>
    </comment>
  </commentList>
  <extLst>
    <ext uri="GoogleSheetsCustomDataVersion2">
      <go:sheetsCustomData xmlns:go="http://customooxmlschemas.google.com/" r:id="rId1" roundtripDataSignature="AMtx7miAIcFjcU1muZ20Xoq1qRHzo0MjRQ=="/>
    </ext>
  </extLst>
</comments>
</file>

<file path=xl/sharedStrings.xml><?xml version="1.0" encoding="utf-8"?>
<sst xmlns="http://schemas.openxmlformats.org/spreadsheetml/2006/main" count="351" uniqueCount="251">
  <si>
    <t>EUR</t>
  </si>
  <si>
    <t>Valoración By The Vanguard Research</t>
  </si>
  <si>
    <t>Noely D. Diokila Mendez</t>
  </si>
  <si>
    <t>Cuenta de Resultados de &lt;Alibaba</t>
  </si>
  <si>
    <t>En MM€</t>
  </si>
  <si>
    <t>CAGR 2025-2030</t>
  </si>
  <si>
    <t>CAGR 2026-2030</t>
  </si>
  <si>
    <t>Ingresos Totales</t>
  </si>
  <si>
    <t>% Crecimiento</t>
  </si>
  <si>
    <t>Desglose de Ingresos (Desplegable)</t>
  </si>
  <si>
    <t xml:space="preserve">Taobao y Tmall </t>
  </si>
  <si>
    <t>Variación</t>
  </si>
  <si>
    <t xml:space="preserve">Cloud Intellingence Group </t>
  </si>
  <si>
    <t xml:space="preserve">Alibaba International Digital Commerce </t>
  </si>
  <si>
    <t xml:space="preserve">Cainiao Smart Logistics Network Limited </t>
  </si>
  <si>
    <t xml:space="preserve">Local Services Group </t>
  </si>
  <si>
    <t>Digital Media and Entertainment Group</t>
  </si>
  <si>
    <t xml:space="preserve">All Others </t>
  </si>
  <si>
    <t xml:space="preserve">Otros Ajustes de costos de red </t>
  </si>
  <si>
    <t xml:space="preserve">Ingresos Totales </t>
  </si>
  <si>
    <t>Coste de los bienes vendidos</t>
  </si>
  <si>
    <t>Ingresos Brutos</t>
  </si>
  <si>
    <t>Gross Margin</t>
  </si>
  <si>
    <t xml:space="preserve">Gastos de venta, generales y administrativos </t>
  </si>
  <si>
    <t>Gastos de Retribución variable a largo plazo de Personal</t>
  </si>
  <si>
    <t>Gastos de I+D</t>
  </si>
  <si>
    <t>Amortización de fondos de comercio y activos intangibles</t>
  </si>
  <si>
    <t>Otros Ingresos (gastos) operativos</t>
  </si>
  <si>
    <t xml:space="preserve">Total costes operativos </t>
  </si>
  <si>
    <t>Beneficio Operativo</t>
  </si>
  <si>
    <t>EBITA</t>
  </si>
  <si>
    <t>% Margin</t>
  </si>
  <si>
    <t>EBIT</t>
  </si>
  <si>
    <t>Intereses Netos</t>
  </si>
  <si>
    <t xml:space="preserve">Intereses variables recibidos de inversiones </t>
  </si>
  <si>
    <t xml:space="preserve">Otros intereses y gastos no operativos </t>
  </si>
  <si>
    <t>EBT, Excl. Artículos inusuales</t>
  </si>
  <si>
    <t>Articulos inusuales totales</t>
  </si>
  <si>
    <t>EBT, Incl. Artículos inusuales</t>
  </si>
  <si>
    <t>Gastos de Impuestos</t>
  </si>
  <si>
    <t>Beneficios por Operaciones Continuadas</t>
  </si>
  <si>
    <t>Operaciones Discontinuas</t>
  </si>
  <si>
    <t xml:space="preserve">Extraordinary Items &amp; Acct. Change </t>
  </si>
  <si>
    <t>Beneficios Netos de la Empresa</t>
  </si>
  <si>
    <t xml:space="preserve">Variación </t>
  </si>
  <si>
    <t xml:space="preserve">Márgenes Netos </t>
  </si>
  <si>
    <t>Intereses minoritarios</t>
  </si>
  <si>
    <t>Beneficios netos totales</t>
  </si>
  <si>
    <t xml:space="preserve">ADR básicos en circulación </t>
  </si>
  <si>
    <t xml:space="preserve">ADR diluidos en circulación </t>
  </si>
  <si>
    <t xml:space="preserve">BPA básico </t>
  </si>
  <si>
    <t xml:space="preserve">BPA diluido </t>
  </si>
  <si>
    <t>Beneficios netos totales Ajustados</t>
  </si>
  <si>
    <t>EPS diluido ajustado</t>
  </si>
  <si>
    <t>Payout Dividendos/Beneficio neto</t>
  </si>
  <si>
    <t>Dividendo por acción</t>
  </si>
  <si>
    <t>Proyecciones Cuenta de Resultados (Desplegable)</t>
  </si>
  <si>
    <t xml:space="preserve">Coste sobre vienes vendidos </t>
  </si>
  <si>
    <t>Costos de venta, generales y administrativos</t>
  </si>
  <si>
    <t>Gastos de Retribución variable a largo plazo de Personal % de ventas</t>
  </si>
  <si>
    <t>Costos de I+D a como % ventas</t>
  </si>
  <si>
    <t>Depreciación y Amortización % de ventas</t>
  </si>
  <si>
    <t>Otros Ingresos (gastos) operativos % porcentaje de ventas</t>
  </si>
  <si>
    <t xml:space="preserve">Artículos inusuales %ventas </t>
  </si>
  <si>
    <t>Tasa Impositiva</t>
  </si>
  <si>
    <t>Intereses Arrendamientos como % sobre arrendamientos totales</t>
  </si>
  <si>
    <t xml:space="preserve">Intereses Minoritarios % beneficios netos </t>
  </si>
  <si>
    <t>Margen EBIT</t>
  </si>
  <si>
    <t>Dilución de acciones</t>
  </si>
  <si>
    <t>Interés sobre deuda</t>
  </si>
  <si>
    <t xml:space="preserve">Balance Alibaba </t>
  </si>
  <si>
    <t>CAGR desde 03/2024</t>
  </si>
  <si>
    <t>Efectivo y equivalentes</t>
  </si>
  <si>
    <t>Total Cuentas por Cobrar</t>
  </si>
  <si>
    <t>Inventarios</t>
  </si>
  <si>
    <t>Gastos pagados por anticipado</t>
  </si>
  <si>
    <t xml:space="preserve">Cuentas por pagar </t>
  </si>
  <si>
    <t xml:space="preserve">Gastos devengados </t>
  </si>
  <si>
    <t xml:space="preserve">Capital de Trabajo Neto circulante  </t>
  </si>
  <si>
    <t xml:space="preserve">% Capital de trabajo neto sobre ventas </t>
  </si>
  <si>
    <t xml:space="preserve">Arrendamientos totales </t>
  </si>
  <si>
    <t>Deudas financieras totales</t>
  </si>
  <si>
    <t>Deuda Total</t>
  </si>
  <si>
    <t>Equity a las Acciones comunes</t>
  </si>
  <si>
    <t>Interés Minoritario</t>
  </si>
  <si>
    <t>Total Equity</t>
  </si>
  <si>
    <t>Deuda Neta inc. Leases</t>
  </si>
  <si>
    <t>Deuda Neta excl. leases</t>
  </si>
  <si>
    <t>Deuda Neta ex. leases/EBITA</t>
  </si>
  <si>
    <t>Deuda Neta/EBITA</t>
  </si>
  <si>
    <t>ROIC medio (Ajustado)</t>
  </si>
  <si>
    <t>Capital invertido</t>
  </si>
  <si>
    <t>Capital invertido/Acción</t>
  </si>
  <si>
    <t>ROE medio normalizado</t>
  </si>
  <si>
    <t>Valor en Libros/Acción</t>
  </si>
  <si>
    <t>Tasa de reinversión neta Equity/acción</t>
  </si>
  <si>
    <t>Tasa de reinversión bruta en el Equity</t>
  </si>
  <si>
    <t>Tasa de reinversión neta Capital Invertido/acción</t>
  </si>
  <si>
    <t>Tasa de reinversión bruta en el capital invertido</t>
  </si>
  <si>
    <t>Proyecciones de Balance (Desplegable)</t>
  </si>
  <si>
    <t>Cuentas por cobrar como % de ventas</t>
  </si>
  <si>
    <t xml:space="preserve">Inventarios como % de las ventas </t>
  </si>
  <si>
    <t xml:space="preserve">Gastos pagados por anticipado como % de las ventas </t>
  </si>
  <si>
    <t>Cuentas por pagar como % de las ventas</t>
  </si>
  <si>
    <t>Gastos devengados como % de las ventas</t>
  </si>
  <si>
    <t>Cambio en el Working Capital</t>
  </si>
  <si>
    <t>Dais Receivable</t>
  </si>
  <si>
    <t>Days Inventory</t>
  </si>
  <si>
    <t>Days payable</t>
  </si>
  <si>
    <t>Ciclo de conversión de caja (Dias)</t>
  </si>
  <si>
    <t xml:space="preserve">Arrendamientos % ventas </t>
  </si>
  <si>
    <t>Estados de Flujos De Caja Alibaba</t>
  </si>
  <si>
    <t>Beneficios Netos</t>
  </si>
  <si>
    <t>Depreciación y amortización</t>
  </si>
  <si>
    <t>Amortización de cargos diferidos</t>
  </si>
  <si>
    <t>(ganancia) Pérdida por venta de activos</t>
  </si>
  <si>
    <t xml:space="preserve">Deterioro de activos y costes de reestructuración </t>
  </si>
  <si>
    <t>(Ingresos) Pérdida en inversiones de capital</t>
  </si>
  <si>
    <t>Compensación basada en acciones</t>
  </si>
  <si>
    <t>Otras actividades operativas</t>
  </si>
  <si>
    <t>Otros cambios sin (con) salida de efectivo</t>
  </si>
  <si>
    <t xml:space="preserve">Taxes y otras obligaciones </t>
  </si>
  <si>
    <t>Cash Flow from Operations</t>
  </si>
  <si>
    <t>Cash FLow excluyendo variación del circulante neto.</t>
  </si>
  <si>
    <t>Capex</t>
  </si>
  <si>
    <t>Venta (compra) de activos intangibles</t>
  </si>
  <si>
    <t xml:space="preserve">Capex total </t>
  </si>
  <si>
    <t>(compra)de inmobilizado material</t>
  </si>
  <si>
    <t>Adquisiciones con efectivo</t>
  </si>
  <si>
    <t>Desinversiones</t>
  </si>
  <si>
    <t>Inversión en valores negociables y de renta variable</t>
  </si>
  <si>
    <t>Otras actividades de inversión</t>
  </si>
  <si>
    <t>Cash flow From Investing</t>
  </si>
  <si>
    <t>Deuda Emitida</t>
  </si>
  <si>
    <t>Deuda reembolsada</t>
  </si>
  <si>
    <t xml:space="preserve">Deuda neta reembolsada </t>
  </si>
  <si>
    <t xml:space="preserve">Arrendamientos </t>
  </si>
  <si>
    <t>(Recompras)/Emisión de acciones</t>
  </si>
  <si>
    <t>Dividendos Pagados</t>
  </si>
  <si>
    <t xml:space="preserve">Otros </t>
  </si>
  <si>
    <t>Cash Flow From Financing Activities</t>
  </si>
  <si>
    <t>Ajuste del tipo de cambi de divisas</t>
  </si>
  <si>
    <t>Beginning Cash and Equivalents</t>
  </si>
  <si>
    <t xml:space="preserve">Change in Cash </t>
  </si>
  <si>
    <t>Ending Cash and Equivalents</t>
  </si>
  <si>
    <t xml:space="preserve">Free Cash Flow to the Firm </t>
  </si>
  <si>
    <t>Evolución</t>
  </si>
  <si>
    <t>Conversión Beneficio Neto a FCF</t>
  </si>
  <si>
    <t xml:space="preserve">Free Cash Flow Básico </t>
  </si>
  <si>
    <t>Conversión Beneficio Neto a FCF normalizado</t>
  </si>
  <si>
    <t>Proyecciones del Cash Flow (Desplegable)</t>
  </si>
  <si>
    <t>Depreciación y amortización (del cash flow)  % D&amp;A Cuenta de ingresos</t>
  </si>
  <si>
    <t xml:space="preserve">Amortización de cargos diferidos como % de la amortización total </t>
  </si>
  <si>
    <t>SBC como % de ingresos</t>
  </si>
  <si>
    <t xml:space="preserve">Otras actividades operativas como % de las ventas </t>
  </si>
  <si>
    <t xml:space="preserve">Taxes y otras obligaciones % ventas </t>
  </si>
  <si>
    <t>Provisiones para Long term plan de Empleados</t>
  </si>
  <si>
    <t>CapEx as % of revenue</t>
  </si>
  <si>
    <t xml:space="preserve">Venta (compra) de intangibles como % de las ventas </t>
  </si>
  <si>
    <t xml:space="preserve">Inversión en valores negociables como % del cash flow  from operations </t>
  </si>
  <si>
    <t>Otras actividades de inversion</t>
  </si>
  <si>
    <t xml:space="preserve">Venta de inmobilizado material como % de ventas </t>
  </si>
  <si>
    <t xml:space="preserve">Deuda neta reembolsada como % del FCFF normalizado </t>
  </si>
  <si>
    <t xml:space="preserve">Arrendamientos como % de los arrendamientos totales  </t>
  </si>
  <si>
    <t>Payout(%)</t>
  </si>
  <si>
    <t>Otros</t>
  </si>
  <si>
    <t>Otras actividades de inversión % ventas</t>
  </si>
  <si>
    <t xml:space="preserve">Recompras en USD </t>
  </si>
  <si>
    <t xml:space="preserve">Número de acciones recompradas </t>
  </si>
  <si>
    <t xml:space="preserve">Cambio de divisa, ajuste como % de las ventas </t>
  </si>
  <si>
    <t>VALORACIÓN FINAL Alibaba</t>
  </si>
  <si>
    <t>VALORACIÓN POR MÚLTIPLOS</t>
  </si>
  <si>
    <t>PER</t>
  </si>
  <si>
    <t>USD</t>
  </si>
  <si>
    <t>EV/EBIT</t>
  </si>
  <si>
    <t xml:space="preserve">Valoración ABYA </t>
  </si>
  <si>
    <t>Múltiplo utilizado</t>
  </si>
  <si>
    <t>Múltiplo maximo</t>
  </si>
  <si>
    <t>Múltiplo minimo</t>
  </si>
  <si>
    <t>Múltiplo medio</t>
  </si>
  <si>
    <t>Último</t>
  </si>
  <si>
    <t>Net (cash) debt per share</t>
  </si>
  <si>
    <t>Precio Actual</t>
  </si>
  <si>
    <t xml:space="preserve">Precio Objetivo </t>
  </si>
  <si>
    <t xml:space="preserve">Dividendo Anualizado </t>
  </si>
  <si>
    <t>Retorno total Neto</t>
  </si>
  <si>
    <t>IRR a diciembre 2028</t>
  </si>
  <si>
    <t xml:space="preserve">Retorno Total dividendos </t>
  </si>
  <si>
    <t xml:space="preserve">Precio Medio Recompras </t>
  </si>
  <si>
    <t xml:space="preserve">Precio Objetivo de Entrada </t>
  </si>
  <si>
    <t>Variación de precio necesaria</t>
  </si>
  <si>
    <t>Decisión a precio Actual</t>
  </si>
  <si>
    <t>SOBREPONDERAR</t>
  </si>
  <si>
    <t>Book Value</t>
  </si>
  <si>
    <t>Invested capital/share</t>
  </si>
  <si>
    <t>Numero de periodos (CAGR)</t>
  </si>
  <si>
    <t>ABYA Multiplo Calculation</t>
  </si>
  <si>
    <t>ROE</t>
  </si>
  <si>
    <t>ROIC</t>
  </si>
  <si>
    <t>g1</t>
  </si>
  <si>
    <t>g2</t>
  </si>
  <si>
    <t>Kc</t>
  </si>
  <si>
    <t>נ</t>
  </si>
  <si>
    <t>Conversion Net Profit to average FCFE in the period</t>
  </si>
  <si>
    <t>Intrinsic Natural Multiplo</t>
  </si>
  <si>
    <t>ABYA Safety Multiplo</t>
  </si>
  <si>
    <t xml:space="preserve">Multiplo ABYA lower conversion 85%. </t>
  </si>
  <si>
    <t xml:space="preserve">Tipo de Cambio 1 Yuan = </t>
  </si>
  <si>
    <t xml:space="preserve">Intrinsic Valuation ABYA/share at 06/2029        </t>
  </si>
  <si>
    <t>Total return from current price</t>
  </si>
  <si>
    <t xml:space="preserve">CAGR </t>
  </si>
  <si>
    <t>Annual dividends</t>
  </si>
  <si>
    <t>IRR with dividends</t>
  </si>
  <si>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</si>
  <si>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</si>
  <si>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</si>
  <si>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t>CAGR</t>
  </si>
  <si>
    <t xml:space="preserve">Total Intrinsic Safety Valuation                                 </t>
  </si>
  <si>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</si>
  <si>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</si>
  <si>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</si>
  <si>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t xml:space="preserve">Absolute Intrinsic Safety Valuation 				</t>
  </si>
  <si>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</si>
  <si>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</si>
  <si>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r>
      <rPr>
        <rFont val="Arial"/>
        <color theme="1"/>
      </rPr>
      <t xml:space="preserve">Total Return on </t>
    </r>
    <r>
      <rPr>
        <rFont val="Arial"/>
        <b/>
        <color theme="1"/>
      </rPr>
      <t>Target Price</t>
    </r>
  </si>
  <si>
    <t>2024E</t>
  </si>
  <si>
    <t>2025E</t>
  </si>
  <si>
    <t>2026E</t>
  </si>
  <si>
    <t>2027E</t>
  </si>
  <si>
    <t>2028E</t>
  </si>
  <si>
    <t>12/2024E</t>
  </si>
  <si>
    <t>12/2025E</t>
  </si>
  <si>
    <t>12/2026E</t>
  </si>
  <si>
    <t>12/2027E</t>
  </si>
  <si>
    <t>12/2028E</t>
  </si>
  <si>
    <t>05/2025E</t>
  </si>
  <si>
    <t>05/2026E</t>
  </si>
  <si>
    <t>05/2027E</t>
  </si>
  <si>
    <t>05/2028E</t>
  </si>
  <si>
    <t>05/2029E</t>
  </si>
  <si>
    <t xml:space="preserve">ROE VALUATION </t>
  </si>
  <si>
    <t>ROIC VALUATION</t>
  </si>
  <si>
    <t xml:space="preserve">Target Price  	</t>
  </si>
  <si>
    <t xml:space="preserve">Precio Objetivo  </t>
  </si>
  <si>
    <t xml:space="preserve">Target Price (Low Range) </t>
  </si>
  <si>
    <t xml:space="preserve">Precio Objetivo Rango Bajo </t>
  </si>
  <si>
    <t xml:space="preserve">Conversion  &lt;85% Target Price. </t>
  </si>
  <si>
    <t xml:space="preserve">Precio Objetivo conversión &lt;85% </t>
  </si>
  <si>
    <t>Annual Dividends</t>
  </si>
  <si>
    <t>Dividendos Anuales</t>
  </si>
  <si>
    <t>CONDICIONES (LEER)</t>
  </si>
</sst>
</file>

<file path=xl/styles.xml><?xml version="1.0" encoding="utf-8"?>
<styleSheet xmlns="http://schemas.openxmlformats.org/spreadsheetml/2006/main" xmlns:x14ac="http://schemas.microsoft.com/office/spreadsheetml/2009/9/ac" xmlns:mc="http://schemas.openxmlformats.org/markup-compatibility/2006">
  <numFmts count="16">
    <numFmt numFmtId="164" formatCode="mm/yyyy"/>
    <numFmt numFmtId="165" formatCode="#,##0.00;(#,##0.00)"/>
    <numFmt numFmtId="166" formatCode="_ * #,##0.00_ \ [$$-C0C]_ ;_ * \-#,##0.00\ \ [$$-C0C]_ ;_ * &quot;-&quot;??_ \ [$$-C0C]_ ;_ @_ "/>
    <numFmt numFmtId="167" formatCode="_-[$$-409]* #,##0.00_ ;_-[$$-409]* \-#,##0.00\ ;_-[$$-409]* &quot;-&quot;??_ ;_-@_ "/>
    <numFmt numFmtId="168" formatCode="[$£]#,##0.00"/>
    <numFmt numFmtId="169" formatCode="#,##0.00\ [$$-C0C];[Red]#,##0.00\ [$$-C0C]"/>
    <numFmt numFmtId="170" formatCode="_-* #,##0.00\ [$€-C0A]_-;\-* #,##0.00\ [$€-C0A]_-;_-* &quot;-&quot;??\ [$€-C0A]_-;_-@"/>
    <numFmt numFmtId="171" formatCode="#,##0.00\ [$€-1]"/>
    <numFmt numFmtId="172" formatCode="_-* #,##0.00\ &quot;€&quot;_-;\-* #,##0.00\ &quot;€&quot;_-;_-* &quot;-&quot;??\ &quot;€&quot;_-;_-@"/>
    <numFmt numFmtId="173" formatCode="0.0%"/>
    <numFmt numFmtId="174" formatCode="#,##0.0\ [$€-1]"/>
    <numFmt numFmtId="175" formatCode="0.0"/>
    <numFmt numFmtId="176" formatCode="_-* #,##0.00\ [$€-1]_-;\-* #,##0.00\ [$€-1]_-;_-* &quot;-&quot;??\ [$€-1]_-;_-@"/>
    <numFmt numFmtId="177" formatCode="[$$]#,##0.00"/>
    <numFmt numFmtId="178" formatCode="[$¥]#,##0.00"/>
    <numFmt numFmtId="179" formatCode="[$USD $]#,##0.00"/>
  </numFmts>
  <fonts count="59">
    <font>
      <sz val="10.0"/>
      <color rgb="FF000000"/>
      <name val="Arial"/>
      <scheme val="minor"/>
    </font>
    <font>
      <sz val="10.0"/>
      <color theme="1"/>
      <name val="Arial"/>
    </font>
    <font>
      <b/>
      <sz val="10.0"/>
      <color rgb="FF4A86E8"/>
      <name val="Arial"/>
    </font>
    <font>
      <b/>
      <sz val="11.0"/>
      <color rgb="FF4A86E8"/>
      <name val="Arial"/>
    </font>
    <font>
      <b/>
      <sz val="11.0"/>
      <color rgb="FF277E3E"/>
      <name val="Arial"/>
    </font>
    <font>
      <b/>
      <sz val="10.0"/>
      <color rgb="FF277E3E"/>
      <name val="Arial"/>
    </font>
    <font>
      <sz val="10.0"/>
      <color rgb="FF000000"/>
      <name val="Arial"/>
    </font>
    <font>
      <color theme="1"/>
      <name val="Arial"/>
    </font>
    <font>
      <b/>
      <sz val="10.0"/>
      <color rgb="FF000000"/>
      <name val="Arial"/>
    </font>
    <font>
      <b/>
      <sz val="13.0"/>
      <color theme="1"/>
      <name val="Arial"/>
    </font>
    <font/>
    <font>
      <b/>
      <color rgb="FF4A86E8"/>
      <name val="Arial"/>
    </font>
    <font>
      <b/>
      <color rgb="FF38761D"/>
      <name val="Arial"/>
    </font>
    <font>
      <b/>
      <sz val="10.0"/>
      <color rgb="FFBF9000"/>
      <name val="Arial"/>
    </font>
    <font>
      <b/>
      <color rgb="FFBF9000"/>
      <name val="Arial"/>
    </font>
    <font>
      <b/>
      <color rgb="FF9900FF"/>
      <name val="Arial"/>
    </font>
    <font>
      <color theme="1"/>
      <name val="Arial"/>
      <scheme val="minor"/>
    </font>
    <font>
      <b/>
      <sz val="10.0"/>
      <color rgb="FF0C5ADB"/>
      <name val="Arial"/>
    </font>
    <font>
      <b/>
      <sz val="10.0"/>
      <color theme="4"/>
      <name val="Arial"/>
    </font>
    <font>
      <b/>
      <color theme="1"/>
      <name val="Arial"/>
    </font>
    <font>
      <b/>
      <color theme="4"/>
      <name val="Arial"/>
    </font>
    <font>
      <color theme="4"/>
      <name val="Arial"/>
    </font>
    <font>
      <color rgb="FF4285F4"/>
      <name val="Arial"/>
    </font>
    <font>
      <b/>
      <color rgb="FF000000"/>
      <name val="Arial"/>
    </font>
    <font>
      <sz val="10.0"/>
      <color theme="4"/>
      <name val="Arial"/>
    </font>
    <font>
      <b/>
      <sz val="10.0"/>
      <color theme="1"/>
      <name val="Arial"/>
    </font>
    <font>
      <b/>
      <sz val="10.0"/>
      <color rgb="FF1155CC"/>
      <name val="Arial"/>
    </font>
    <font>
      <b/>
      <sz val="10.0"/>
      <color rgb="FFBC8D03"/>
      <name val="Arial"/>
    </font>
    <font>
      <sz val="10.0"/>
      <color theme="1"/>
      <name val="Roboto"/>
    </font>
    <font>
      <b/>
      <sz val="10.0"/>
      <color rgb="FF38761D"/>
      <name val="Arial"/>
    </font>
    <font>
      <b/>
      <sz val="10.0"/>
      <color rgb="FF38761D"/>
      <name val="Roboto"/>
    </font>
    <font>
      <sz val="10.0"/>
      <color rgb="FF000000"/>
      <name val="Roboto"/>
    </font>
    <font>
      <color theme="1"/>
      <name val="Roboto"/>
    </font>
    <font>
      <sz val="11.0"/>
      <color theme="1"/>
      <name val="Roboto"/>
    </font>
    <font>
      <sz val="10.0"/>
      <color rgb="FFBF9000"/>
      <name val="Arial"/>
    </font>
    <font>
      <b/>
      <sz val="10.0"/>
      <color rgb="FF9900FF"/>
      <name val="Arial"/>
    </font>
    <font>
      <color rgb="FF9900FF"/>
      <name val="Arial"/>
    </font>
    <font>
      <b/>
      <sz val="10.0"/>
      <color rgb="FF000000"/>
      <name val="Roboto"/>
    </font>
    <font>
      <i/>
      <sz val="13.0"/>
      <color theme="1"/>
      <name val="Impact"/>
    </font>
    <font>
      <b/>
      <sz val="14.0"/>
      <color rgb="FF000000"/>
      <name val="Arial"/>
    </font>
    <font>
      <sz val="11.0"/>
      <color rgb="FF000000"/>
      <name val="Arial"/>
    </font>
    <font>
      <b/>
      <sz val="10.0"/>
      <color rgb="FF7F6000"/>
      <name val="Arial"/>
    </font>
    <font>
      <b/>
      <color rgb="FF7F6000"/>
      <name val="Arial"/>
    </font>
    <font>
      <b/>
      <sz val="10.0"/>
      <color rgb="FFBC8D03"/>
      <name val="Roboto"/>
    </font>
    <font>
      <b/>
      <sz val="14.0"/>
      <color theme="1"/>
      <name val="Arial"/>
    </font>
    <font>
      <i/>
      <sz val="10.0"/>
      <color rgb="FF000000"/>
      <name val="Roboto"/>
    </font>
    <font>
      <sz val="10.0"/>
      <color rgb="FFBC8D03"/>
      <name val="Arial"/>
    </font>
    <font>
      <sz val="13.0"/>
      <color theme="1"/>
      <name val="Impact"/>
    </font>
    <font>
      <b/>
      <i/>
      <color theme="1"/>
      <name val="Arial"/>
    </font>
    <font>
      <b/>
      <sz val="11.0"/>
      <color theme="1"/>
      <name val="Arial"/>
    </font>
    <font>
      <b/>
      <sz val="7.0"/>
      <color theme="1"/>
      <name val="Arial"/>
    </font>
    <font>
      <b/>
      <sz val="8.0"/>
      <color theme="1"/>
      <name val="Arial"/>
    </font>
    <font>
      <sz val="11.0"/>
      <color theme="1"/>
      <name val="Arial"/>
    </font>
    <font>
      <i/>
      <color rgb="FF4285F4"/>
      <name val="Arial"/>
    </font>
    <font>
      <b/>
      <i/>
      <color rgb="FF38761D"/>
      <name val="Arial"/>
    </font>
    <font>
      <b/>
      <sz val="9.0"/>
      <color rgb="FFBF9000"/>
      <name val="Arial"/>
    </font>
    <font>
      <b/>
      <sz val="9.0"/>
      <color theme="1"/>
      <name val="Arial"/>
    </font>
    <font>
      <b/>
      <sz val="9.0"/>
      <color rgb="FFBC8D03"/>
      <name val="Arial"/>
    </font>
    <font>
      <sz val="9.0"/>
      <color theme="1"/>
      <name val="Arial"/>
    </font>
  </fonts>
  <fills count="25">
    <fill>
      <patternFill patternType="none"/>
    </fill>
    <fill>
      <patternFill patternType="lightGray"/>
    </fill>
    <fill>
      <patternFill patternType="solid">
        <fgColor rgb="FFC9DAF8"/>
        <bgColor rgb="FFC9DAF8"/>
      </patternFill>
    </fill>
    <fill>
      <patternFill patternType="solid">
        <fgColor rgb="FF4A86E8"/>
        <bgColor rgb="FF4A86E8"/>
      </patternFill>
    </fill>
    <fill>
      <patternFill patternType="solid">
        <fgColor rgb="FFB3CEFA"/>
        <bgColor rgb="FFB3CEFA"/>
      </patternFill>
    </fill>
    <fill>
      <patternFill patternType="solid">
        <fgColor rgb="FFFCD668"/>
        <bgColor rgb="FFFCD668"/>
      </patternFill>
    </fill>
    <fill>
      <patternFill patternType="solid">
        <fgColor rgb="FFFFFFFF"/>
        <bgColor rgb="FFFFFFFF"/>
      </patternFill>
    </fill>
    <fill>
      <patternFill patternType="solid">
        <fgColor rgb="FFFFF2CC"/>
        <bgColor rgb="FFFFF2CC"/>
      </patternFill>
    </fill>
    <fill>
      <patternFill patternType="solid">
        <fgColor rgb="FFD0E0E3"/>
        <bgColor rgb="FFD0E0E3"/>
      </patternFill>
    </fill>
    <fill>
      <patternFill patternType="solid">
        <fgColor rgb="FFFAD9D6"/>
        <bgColor rgb="FFFAD9D6"/>
      </patternFill>
    </fill>
    <fill>
      <patternFill patternType="solid">
        <fgColor rgb="FFF4CCCC"/>
        <bgColor rgb="FFF4CCCC"/>
      </patternFill>
    </fill>
    <fill>
      <patternFill patternType="solid">
        <fgColor rgb="FFD2F1DA"/>
        <bgColor rgb="FFD2F1DA"/>
      </patternFill>
    </fill>
    <fill>
      <patternFill patternType="solid">
        <fgColor rgb="FFBC8D03"/>
        <bgColor rgb="FFBC8D03"/>
      </patternFill>
    </fill>
    <fill>
      <patternFill patternType="solid">
        <fgColor rgb="FFBF9000"/>
        <bgColor rgb="FFBF9000"/>
      </patternFill>
    </fill>
    <fill>
      <patternFill patternType="solid">
        <fgColor theme="4"/>
        <bgColor theme="4"/>
      </patternFill>
    </fill>
    <fill>
      <patternFill patternType="solid">
        <fgColor rgb="FF00FF00"/>
        <bgColor rgb="FF00FF00"/>
      </patternFill>
    </fill>
    <fill>
      <patternFill patternType="solid">
        <fgColor rgb="FF00B050"/>
        <bgColor rgb="FF00B050"/>
      </patternFill>
    </fill>
    <fill>
      <patternFill patternType="solid">
        <fgColor rgb="FFB6D7A8"/>
        <bgColor rgb="FFB6D7A8"/>
      </patternFill>
    </fill>
    <fill>
      <patternFill patternType="solid">
        <fgColor rgb="FF93C47D"/>
        <bgColor rgb="FF93C47D"/>
      </patternFill>
    </fill>
    <fill>
      <patternFill patternType="solid">
        <fgColor rgb="FFF1C232"/>
        <bgColor rgb="FFF1C232"/>
      </patternFill>
    </fill>
    <fill>
      <patternFill patternType="solid">
        <fgColor rgb="FFEA9999"/>
        <bgColor rgb="FFEA9999"/>
      </patternFill>
    </fill>
    <fill>
      <patternFill patternType="solid">
        <fgColor rgb="FFA4C2F4"/>
        <bgColor rgb="FFA4C2F4"/>
      </patternFill>
    </fill>
    <fill>
      <patternFill patternType="solid">
        <fgColor rgb="FF34A853"/>
        <bgColor rgb="FF34A853"/>
      </patternFill>
    </fill>
    <fill>
      <patternFill patternType="solid">
        <fgColor rgb="FFD9EAD3"/>
        <bgColor rgb="FFD9EAD3"/>
      </patternFill>
    </fill>
    <fill>
      <patternFill patternType="solid">
        <fgColor rgb="FFD9D2E9"/>
        <bgColor rgb="FFD9D2E9"/>
      </patternFill>
    </fill>
  </fills>
  <borders count="50">
    <border/>
    <border>
      <left/>
      <right/>
      <top/>
      <bottom/>
    </border>
    <border>
      <left/>
      <top/>
      <bottom/>
    </border>
    <border>
      <top/>
      <bottom/>
    </border>
    <border>
      <left/>
      <right/>
      <top/>
    </border>
    <border>
      <left style="thick">
        <color rgb="FFBF9000"/>
      </left>
      <top style="thick">
        <color rgb="FFBF9000"/>
      </top>
    </border>
    <border>
      <top style="thick">
        <color rgb="FFBF9000"/>
      </top>
    </border>
    <border>
      <right style="thick">
        <color rgb="FFBF9000"/>
      </right>
      <top style="thick">
        <color rgb="FFBF9000"/>
      </top>
    </border>
    <border>
      <left style="thick">
        <color rgb="FFBF9000"/>
      </left>
    </border>
    <border>
      <right style="thick">
        <color rgb="FFBF9000"/>
      </right>
    </border>
    <border>
      <top style="thin">
        <color rgb="FF000000"/>
      </top>
    </border>
    <border>
      <bottom style="thin">
        <color rgb="FF000000"/>
      </bottom>
    </border>
    <border>
      <left style="thick">
        <color rgb="FF34A853"/>
      </left>
      <bottom style="thick">
        <color rgb="FFBF9000"/>
      </bottom>
    </border>
    <border>
      <right style="thick">
        <color rgb="FF34A853"/>
      </right>
      <bottom style="thick">
        <color rgb="FFBF9000"/>
      </bottom>
    </border>
    <border>
      <left style="thick">
        <color rgb="FFBC8D03"/>
      </left>
      <top style="thick">
        <color rgb="FFBC8D03"/>
      </top>
    </border>
    <border>
      <right style="thick">
        <color rgb="FFBC8D03"/>
      </right>
      <top style="thick">
        <color rgb="FFBC8D03"/>
      </top>
    </border>
    <border>
      <left style="thick">
        <color rgb="FFBF9000"/>
      </left>
      <top style="thick">
        <color rgb="FFBF9000"/>
      </top>
      <bottom style="thick">
        <color rgb="FFBF9000"/>
      </bottom>
    </border>
    <border>
      <top style="thick">
        <color rgb="FFBF9000"/>
      </top>
      <bottom style="thick">
        <color rgb="FFBF9000"/>
      </bottom>
    </border>
    <border>
      <left/>
      <right/>
      <top style="thick">
        <color rgb="FFBF9000"/>
      </top>
      <bottom style="thick">
        <color rgb="FFBF9000"/>
      </bottom>
    </border>
    <border>
      <left/>
      <top style="thick">
        <color rgb="FFBF9000"/>
      </top>
      <bottom style="thick">
        <color rgb="FFBF9000"/>
      </bottom>
    </border>
    <border>
      <right/>
      <top/>
      <bottom/>
    </border>
    <border>
      <left style="thick">
        <color rgb="FFBF9000"/>
      </left>
      <bottom style="thick">
        <color rgb="FFBF9000"/>
      </bottom>
    </border>
    <border>
      <bottom style="thick">
        <color rgb="FFBF9000"/>
      </bottom>
    </border>
    <border>
      <left/>
      <right/>
      <top style="thick">
        <color rgb="FFBF9000"/>
      </top>
      <bottom/>
    </border>
    <border>
      <left/>
      <top style="thick">
        <color rgb="FFBF9000"/>
      </top>
      <bottom/>
    </border>
    <border>
      <left style="thick">
        <color rgb="FF34A853"/>
      </left>
    </border>
    <border>
      <right style="thick">
        <color rgb="FF34A853"/>
      </right>
    </border>
    <border>
      <right style="thick">
        <color rgb="FFBF9000"/>
      </right>
      <bottom style="thick">
        <color rgb="FFBF9000"/>
      </bottom>
    </border>
    <border>
      <top style="medium">
        <color rgb="FFBC8D03"/>
      </top>
    </border>
    <border>
      <left/>
      <right/>
      <bottom/>
    </border>
    <border>
      <left/>
      <right/>
      <top style="medium">
        <color rgb="FFBC8D03"/>
      </top>
      <bottom/>
    </border>
    <border>
      <top style="thick">
        <color rgb="FFBF9000"/>
      </top>
      <bottom/>
    </border>
    <border>
      <right style="thick">
        <color rgb="FFBF9000"/>
      </right>
      <top style="thick">
        <color rgb="FFBF9000"/>
      </top>
      <bottom/>
    </border>
    <border>
      <bottom/>
    </border>
    <border>
      <right style="thick">
        <color rgb="FFBC8D03"/>
      </right>
    </border>
    <border>
      <bottom style="thick">
        <color rgb="FFBC8D03"/>
      </bottom>
    </border>
    <border>
      <right style="thick">
        <color rgb="FFBC8D03"/>
      </right>
      <bottom style="thick">
        <color rgb="FFBC8D03"/>
      </bottom>
    </border>
    <border>
      <right style="thick">
        <color rgb="FFBF9000"/>
      </right>
      <top style="thick">
        <color rgb="FFBF9000"/>
      </top>
      <bottom style="thick">
        <color rgb="FFBF9000"/>
      </bottom>
    </border>
    <border>
      <top style="thick">
        <color rgb="FFBC8D03"/>
      </top>
    </border>
    <border>
      <right style="thick">
        <color rgb="FFBC8D03"/>
      </right>
      <bottom style="thick">
        <color rgb="FFBF9000"/>
      </bottom>
    </border>
    <border>
      <left style="thick">
        <color rgb="FF34A853"/>
      </left>
      <top style="thick">
        <color rgb="FF34A853"/>
      </top>
    </border>
    <border>
      <top style="thick">
        <color rgb="FF34A853"/>
      </top>
    </border>
    <border>
      <right style="thick">
        <color rgb="FF34A853"/>
      </right>
      <top style="thick">
        <color rgb="FF34A853"/>
      </top>
    </border>
    <border>
      <left style="thick">
        <color rgb="FF9900FF"/>
      </left>
      <right style="thick">
        <color rgb="FF9900FF"/>
      </right>
      <top style="thick">
        <color rgb="FF9900FF"/>
      </top>
      <bottom style="thick">
        <color rgb="FF9900FF"/>
      </bottom>
    </border>
    <border>
      <left style="thick">
        <color rgb="FFBF9000"/>
      </left>
      <right style="thick">
        <color rgb="FFBF9000"/>
      </right>
      <top style="thick">
        <color rgb="FFBF9000"/>
      </top>
    </border>
    <border>
      <left style="thick">
        <color rgb="FFBF9000"/>
      </left>
      <right style="thick">
        <color rgb="FFBF9000"/>
      </right>
    </border>
    <border>
      <left style="thick">
        <color rgb="FFBF9000"/>
      </left>
      <right style="thick">
        <color rgb="FFBF9000"/>
      </right>
      <bottom style="thick">
        <color rgb="FFBF9000"/>
      </bottom>
    </border>
    <border>
      <left style="thick">
        <color rgb="FF34A853"/>
      </left>
      <bottom style="thick">
        <color rgb="FF34A853"/>
      </bottom>
    </border>
    <border>
      <bottom style="thick">
        <color rgb="FF34A853"/>
      </bottom>
    </border>
    <border>
      <right style="thick">
        <color rgb="FF34A853"/>
      </right>
      <bottom style="thick">
        <color rgb="FF34A853"/>
      </bottom>
    </border>
  </borders>
  <cellStyleXfs count="1">
    <xf borderId="0" fillId="0" fontId="0" numFmtId="0" applyAlignment="1" applyFont="1"/>
  </cellStyleXfs>
  <cellXfs count="606">
    <xf borderId="0" fillId="0" fontId="0" numFmtId="0" xfId="0" applyAlignment="1" applyFont="1">
      <alignment readingOrder="0" shrinkToFit="0" vertical="bottom" wrapText="0"/>
    </xf>
    <xf borderId="0" fillId="2" fontId="1" numFmtId="0" xfId="0" applyAlignment="1" applyFill="1" applyFont="1">
      <alignment horizontal="left"/>
    </xf>
    <xf borderId="1" fillId="2" fontId="1" numFmtId="0" xfId="0" applyAlignment="1" applyBorder="1" applyFont="1">
      <alignment horizontal="left"/>
    </xf>
    <xf borderId="1" fillId="2" fontId="1" numFmtId="0" xfId="0" applyBorder="1" applyFont="1"/>
    <xf borderId="1" fillId="2" fontId="2" numFmtId="0" xfId="0" applyBorder="1" applyFont="1"/>
    <xf borderId="1" fillId="2" fontId="3" numFmtId="0" xfId="0" applyBorder="1" applyFont="1"/>
    <xf borderId="1" fillId="2" fontId="4" numFmtId="0" xfId="0" applyBorder="1" applyFont="1"/>
    <xf borderId="0" fillId="0" fontId="5" numFmtId="10" xfId="0" applyAlignment="1" applyFont="1" applyNumberFormat="1">
      <alignment horizontal="center"/>
    </xf>
    <xf borderId="0" fillId="0" fontId="1" numFmtId="0" xfId="0" applyFont="1"/>
    <xf borderId="0" fillId="0" fontId="6" numFmtId="0" xfId="0" applyFont="1"/>
    <xf borderId="0" fillId="0" fontId="7" numFmtId="10" xfId="0" applyFont="1" applyNumberFormat="1"/>
    <xf borderId="0" fillId="0" fontId="8" numFmtId="0" xfId="0" applyAlignment="1" applyFont="1">
      <alignment horizontal="center"/>
    </xf>
    <xf borderId="0" fillId="3" fontId="9" numFmtId="0" xfId="0" applyAlignment="1" applyFill="1" applyFont="1">
      <alignment horizontal="center"/>
    </xf>
    <xf borderId="2" fillId="3" fontId="9" numFmtId="0" xfId="0" applyAlignment="1" applyBorder="1" applyFont="1">
      <alignment horizontal="center"/>
    </xf>
    <xf borderId="3" fillId="0" fontId="10" numFmtId="0" xfId="0" applyBorder="1" applyFont="1"/>
    <xf borderId="0" fillId="0" fontId="1" numFmtId="0" xfId="0" applyAlignment="1" applyFont="1">
      <alignment horizontal="left"/>
    </xf>
    <xf borderId="0" fillId="0" fontId="1" numFmtId="0" xfId="0" applyAlignment="1" applyFont="1">
      <alignment horizontal="right"/>
    </xf>
    <xf borderId="4" fillId="2" fontId="1" numFmtId="0" xfId="0" applyAlignment="1" applyBorder="1" applyFont="1">
      <alignment horizontal="left"/>
    </xf>
    <xf borderId="4" fillId="2" fontId="1" numFmtId="0" xfId="0" applyBorder="1" applyFont="1"/>
    <xf borderId="4" fillId="2" fontId="2" numFmtId="0" xfId="0" applyBorder="1" applyFont="1"/>
    <xf borderId="4" fillId="2" fontId="2" numFmtId="164" xfId="0" applyBorder="1" applyFont="1" applyNumberFormat="1"/>
    <xf borderId="0" fillId="2" fontId="11" numFmtId="164" xfId="0" applyAlignment="1" applyFont="1" applyNumberFormat="1">
      <alignment horizontal="right" vertical="bottom"/>
    </xf>
    <xf borderId="0" fillId="2" fontId="12" numFmtId="164" xfId="0" applyAlignment="1" applyFont="1" applyNumberFormat="1">
      <alignment horizontal="right" vertical="bottom"/>
    </xf>
    <xf borderId="0" fillId="2" fontId="12" numFmtId="164" xfId="0" applyAlignment="1" applyFont="1" applyNumberFormat="1">
      <alignment horizontal="right" readingOrder="0" vertical="bottom"/>
    </xf>
    <xf borderId="5" fillId="4" fontId="4" numFmtId="0" xfId="0" applyAlignment="1" applyBorder="1" applyFill="1" applyFont="1">
      <alignment horizontal="center" readingOrder="0" vertical="bottom"/>
    </xf>
    <xf borderId="6" fillId="0" fontId="10" numFmtId="0" xfId="0" applyBorder="1" applyFont="1"/>
    <xf borderId="6" fillId="4" fontId="4" numFmtId="0" xfId="0" applyAlignment="1" applyBorder="1" applyFont="1">
      <alignment horizontal="center" readingOrder="0" vertical="bottom"/>
    </xf>
    <xf borderId="7" fillId="0" fontId="10" numFmtId="0" xfId="0" applyBorder="1" applyFont="1"/>
    <xf borderId="0" fillId="0" fontId="13" numFmtId="165" xfId="0" applyAlignment="1" applyFont="1" applyNumberFormat="1">
      <alignment horizontal="left"/>
    </xf>
    <xf borderId="0" fillId="0" fontId="13" numFmtId="165" xfId="0" applyAlignment="1" applyFont="1" applyNumberFormat="1">
      <alignment horizontal="center"/>
    </xf>
    <xf borderId="0" fillId="0" fontId="14" numFmtId="4" xfId="0" applyAlignment="1" applyFont="1" applyNumberFormat="1">
      <alignment horizontal="right" vertical="bottom"/>
    </xf>
    <xf borderId="0" fillId="0" fontId="13" numFmtId="4" xfId="0" applyAlignment="1" applyFont="1" applyNumberFormat="1">
      <alignment horizontal="right"/>
    </xf>
    <xf borderId="0" fillId="0" fontId="13" numFmtId="165" xfId="0" applyAlignment="1" applyFont="1" applyNumberFormat="1">
      <alignment horizontal="right"/>
    </xf>
    <xf borderId="0" fillId="0" fontId="13" numFmtId="165" xfId="0" applyFont="1" applyNumberFormat="1"/>
    <xf borderId="8" fillId="0" fontId="14" numFmtId="10" xfId="0" applyAlignment="1" applyBorder="1" applyFont="1" applyNumberFormat="1">
      <alignment horizontal="center" vertical="bottom"/>
    </xf>
    <xf borderId="0" fillId="0" fontId="15" numFmtId="10" xfId="0" applyAlignment="1" applyFont="1" applyNumberFormat="1">
      <alignment horizontal="center" vertical="bottom"/>
    </xf>
    <xf borderId="9" fillId="0" fontId="10" numFmtId="0" xfId="0" applyBorder="1" applyFont="1"/>
    <xf borderId="0" fillId="0" fontId="1" numFmtId="0" xfId="0" applyAlignment="1" applyFont="1">
      <alignment horizontal="center"/>
    </xf>
    <xf borderId="0" fillId="0" fontId="1" numFmtId="10" xfId="0" applyAlignment="1" applyFont="1" applyNumberFormat="1">
      <alignment horizontal="right"/>
    </xf>
    <xf borderId="0" fillId="0" fontId="7" numFmtId="0" xfId="0" applyAlignment="1" applyFont="1">
      <alignment horizontal="center"/>
    </xf>
    <xf borderId="8" fillId="0" fontId="13" numFmtId="10" xfId="0" applyAlignment="1" applyBorder="1" applyFont="1" applyNumberFormat="1">
      <alignment horizontal="center"/>
    </xf>
    <xf borderId="9" fillId="0" fontId="7" numFmtId="0" xfId="0" applyAlignment="1" applyBorder="1" applyFont="1">
      <alignment horizontal="center"/>
    </xf>
    <xf borderId="9" fillId="0" fontId="16" numFmtId="0" xfId="0" applyBorder="1" applyFont="1"/>
    <xf borderId="0" fillId="0" fontId="17" numFmtId="0" xfId="0" applyAlignment="1" applyFont="1">
      <alignment horizontal="left"/>
    </xf>
    <xf borderId="0" fillId="0" fontId="7" numFmtId="0" xfId="0" applyAlignment="1" applyFont="1">
      <alignment vertical="bottom"/>
    </xf>
    <xf borderId="0" fillId="0" fontId="7" numFmtId="0" xfId="0" applyAlignment="1" applyFont="1">
      <alignment horizontal="right" vertical="bottom"/>
    </xf>
    <xf borderId="0" fillId="0" fontId="7" numFmtId="4" xfId="0" applyAlignment="1" applyFont="1" applyNumberFormat="1">
      <alignment horizontal="right" vertical="bottom"/>
    </xf>
    <xf borderId="0" fillId="0" fontId="7" numFmtId="2" xfId="0" applyAlignment="1" applyFont="1" applyNumberFormat="1">
      <alignment horizontal="right" vertical="bottom"/>
    </xf>
    <xf borderId="0" fillId="0" fontId="17" numFmtId="0" xfId="0" applyFont="1"/>
    <xf borderId="8" fillId="0" fontId="8" numFmtId="10" xfId="0" applyAlignment="1" applyBorder="1" applyFont="1" applyNumberFormat="1">
      <alignment horizontal="center"/>
    </xf>
    <xf borderId="9" fillId="0" fontId="17" numFmtId="0" xfId="0" applyBorder="1" applyFont="1"/>
    <xf borderId="0" fillId="0" fontId="18" numFmtId="0" xfId="0" applyAlignment="1" applyFont="1">
      <alignment horizontal="left"/>
    </xf>
    <xf borderId="0" fillId="0" fontId="19" numFmtId="0" xfId="0" applyAlignment="1" applyFont="1">
      <alignment vertical="bottom"/>
    </xf>
    <xf borderId="0" fillId="0" fontId="20" numFmtId="0" xfId="0" applyAlignment="1" applyFont="1">
      <alignment vertical="bottom"/>
    </xf>
    <xf borderId="0" fillId="0" fontId="20" numFmtId="0" xfId="0" applyAlignment="1" applyFont="1">
      <alignment horizontal="right" vertical="bottom"/>
    </xf>
    <xf borderId="0" fillId="0" fontId="20" numFmtId="4" xfId="0" applyAlignment="1" applyFont="1" applyNumberFormat="1">
      <alignment horizontal="right" vertical="bottom"/>
    </xf>
    <xf borderId="0" fillId="0" fontId="19" numFmtId="165" xfId="0" applyAlignment="1" applyFont="1" applyNumberFormat="1">
      <alignment horizontal="right" vertical="bottom"/>
    </xf>
    <xf borderId="0" fillId="0" fontId="19" numFmtId="165" xfId="0" applyAlignment="1" applyFont="1" applyNumberFormat="1">
      <alignment horizontal="right" readingOrder="0" vertical="bottom"/>
    </xf>
    <xf borderId="0" fillId="0" fontId="18" numFmtId="4" xfId="0" applyAlignment="1" applyFont="1" applyNumberFormat="1">
      <alignment horizontal="right"/>
    </xf>
    <xf borderId="0" fillId="0" fontId="18" numFmtId="0" xfId="0" applyFont="1"/>
    <xf borderId="0" fillId="0" fontId="21" numFmtId="0" xfId="0" applyAlignment="1" applyFont="1">
      <alignment vertical="bottom"/>
    </xf>
    <xf borderId="0" fillId="0" fontId="21" numFmtId="0" xfId="0" applyAlignment="1" applyFont="1">
      <alignment horizontal="right" vertical="bottom"/>
    </xf>
    <xf borderId="0" fillId="0" fontId="21" numFmtId="4" xfId="0" applyAlignment="1" applyFont="1" applyNumberFormat="1">
      <alignment horizontal="right" vertical="bottom"/>
    </xf>
    <xf borderId="0" fillId="0" fontId="21" numFmtId="165" xfId="0" applyAlignment="1" applyFont="1" applyNumberFormat="1">
      <alignment horizontal="right" vertical="bottom"/>
    </xf>
    <xf borderId="0" fillId="0" fontId="21" numFmtId="10" xfId="0" applyAlignment="1" applyFont="1" applyNumberFormat="1">
      <alignment horizontal="right" vertical="bottom"/>
    </xf>
    <xf borderId="0" fillId="0" fontId="22" numFmtId="10" xfId="0" applyAlignment="1" applyFont="1" applyNumberFormat="1">
      <alignment horizontal="right" vertical="bottom"/>
    </xf>
    <xf borderId="8" fillId="0" fontId="18" numFmtId="10" xfId="0" applyAlignment="1" applyBorder="1" applyFont="1" applyNumberFormat="1">
      <alignment horizontal="center"/>
    </xf>
    <xf borderId="0" fillId="0" fontId="18" numFmtId="10" xfId="0" applyAlignment="1" applyFont="1" applyNumberFormat="1">
      <alignment horizontal="center"/>
    </xf>
    <xf borderId="9" fillId="0" fontId="18" numFmtId="0" xfId="0" applyBorder="1" applyFont="1"/>
    <xf borderId="0" fillId="0" fontId="8" numFmtId="165" xfId="0" applyAlignment="1" applyFont="1" applyNumberFormat="1">
      <alignment horizontal="left"/>
    </xf>
    <xf borderId="0" fillId="0" fontId="19" numFmtId="165" xfId="0" applyAlignment="1" applyFont="1" applyNumberFormat="1">
      <alignment vertical="bottom"/>
    </xf>
    <xf borderId="0" fillId="0" fontId="23" numFmtId="165" xfId="0" applyAlignment="1" applyFont="1" applyNumberFormat="1">
      <alignment vertical="bottom"/>
    </xf>
    <xf borderId="0" fillId="0" fontId="23" numFmtId="165" xfId="0" applyAlignment="1" applyFont="1" applyNumberFormat="1">
      <alignment horizontal="right" vertical="bottom"/>
    </xf>
    <xf borderId="0" fillId="0" fontId="8" numFmtId="165" xfId="0" applyAlignment="1" applyFont="1" applyNumberFormat="1">
      <alignment horizontal="right"/>
    </xf>
    <xf borderId="0" fillId="0" fontId="8" numFmtId="165" xfId="0" applyFont="1" applyNumberFormat="1"/>
    <xf borderId="0" fillId="0" fontId="24" numFmtId="0" xfId="0" applyAlignment="1" applyFont="1">
      <alignment horizontal="left"/>
    </xf>
    <xf borderId="0" fillId="0" fontId="22" numFmtId="10" xfId="0" applyAlignment="1" applyFont="1" applyNumberFormat="1">
      <alignment horizontal="right" readingOrder="0" vertical="bottom"/>
    </xf>
    <xf borderId="0" fillId="0" fontId="24" numFmtId="0" xfId="0" applyFont="1"/>
    <xf borderId="9" fillId="0" fontId="24" numFmtId="0" xfId="0" applyBorder="1" applyFont="1"/>
    <xf borderId="0" fillId="0" fontId="18" numFmtId="165" xfId="0" applyAlignment="1" applyFont="1" applyNumberFormat="1">
      <alignment horizontal="left"/>
    </xf>
    <xf borderId="0" fillId="0" fontId="20" numFmtId="165" xfId="0" applyAlignment="1" applyFont="1" applyNumberFormat="1">
      <alignment vertical="bottom"/>
    </xf>
    <xf borderId="0" fillId="0" fontId="20" numFmtId="165" xfId="0" applyAlignment="1" applyFont="1" applyNumberFormat="1">
      <alignment horizontal="right" vertical="bottom"/>
    </xf>
    <xf borderId="0" fillId="0" fontId="18" numFmtId="165" xfId="0" applyFont="1" applyNumberFormat="1"/>
    <xf borderId="0" fillId="0" fontId="2" numFmtId="165" xfId="0" applyAlignment="1" applyFont="1" applyNumberFormat="1">
      <alignment horizontal="left"/>
    </xf>
    <xf borderId="0" fillId="0" fontId="11" numFmtId="165" xfId="0" applyAlignment="1" applyFont="1" applyNumberFormat="1">
      <alignment vertical="bottom"/>
    </xf>
    <xf borderId="0" fillId="0" fontId="11" numFmtId="165" xfId="0" applyAlignment="1" applyFont="1" applyNumberFormat="1">
      <alignment horizontal="right" vertical="bottom"/>
    </xf>
    <xf borderId="0" fillId="0" fontId="2" numFmtId="165" xfId="0" applyFont="1" applyNumberFormat="1"/>
    <xf borderId="0" fillId="0" fontId="21" numFmtId="0" xfId="0" applyFont="1"/>
    <xf borderId="0" fillId="0" fontId="17" numFmtId="165" xfId="0" applyAlignment="1" applyFont="1" applyNumberFormat="1">
      <alignment horizontal="left"/>
    </xf>
    <xf borderId="0" fillId="0" fontId="19" numFmtId="165" xfId="0" applyFont="1" applyNumberFormat="1"/>
    <xf borderId="0" fillId="0" fontId="17" numFmtId="165" xfId="0" applyFont="1" applyNumberFormat="1"/>
    <xf borderId="0" fillId="0" fontId="21" numFmtId="10" xfId="0" applyAlignment="1" applyFont="1" applyNumberFormat="1">
      <alignment vertical="bottom"/>
    </xf>
    <xf borderId="0" fillId="0" fontId="17" numFmtId="0" xfId="0" applyAlignment="1" applyFont="1">
      <alignment horizontal="center"/>
    </xf>
    <xf borderId="0" fillId="0" fontId="17" numFmtId="0" xfId="0" applyAlignment="1" applyFont="1">
      <alignment horizontal="right"/>
    </xf>
    <xf borderId="0" fillId="0" fontId="17" numFmtId="166" xfId="0" applyAlignment="1" applyFont="1" applyNumberFormat="1">
      <alignment horizontal="right"/>
    </xf>
    <xf borderId="0" fillId="0" fontId="13" numFmtId="10" xfId="0" applyAlignment="1" applyFont="1" applyNumberFormat="1">
      <alignment horizontal="center"/>
    </xf>
    <xf borderId="0" fillId="0" fontId="19" numFmtId="167" xfId="0" applyAlignment="1" applyFont="1" applyNumberFormat="1">
      <alignment horizontal="right" vertical="bottom"/>
    </xf>
    <xf borderId="0" fillId="3" fontId="19" numFmtId="0" xfId="0" applyAlignment="1" applyFont="1">
      <alignment vertical="bottom"/>
    </xf>
    <xf borderId="0" fillId="0" fontId="19" numFmtId="4" xfId="0" applyAlignment="1" applyFont="1" applyNumberFormat="1">
      <alignment horizontal="right" vertical="bottom"/>
    </xf>
    <xf borderId="0" fillId="5" fontId="19" numFmtId="165" xfId="0" applyAlignment="1" applyFill="1" applyFont="1" applyNumberFormat="1">
      <alignment vertical="bottom"/>
    </xf>
    <xf borderId="0" fillId="0" fontId="17" numFmtId="165" xfId="0" applyAlignment="1" applyFont="1" applyNumberFormat="1">
      <alignment horizontal="center"/>
    </xf>
    <xf borderId="0" fillId="0" fontId="17" numFmtId="165" xfId="0" applyAlignment="1" applyFont="1" applyNumberFormat="1">
      <alignment horizontal="right"/>
    </xf>
    <xf borderId="9" fillId="0" fontId="17" numFmtId="165" xfId="0" applyBorder="1" applyFont="1" applyNumberFormat="1"/>
    <xf borderId="0" fillId="0" fontId="1" numFmtId="165" xfId="0" applyAlignment="1" applyFont="1" applyNumberFormat="1">
      <alignment horizontal="left"/>
    </xf>
    <xf borderId="0" fillId="0" fontId="1" numFmtId="165" xfId="0" applyAlignment="1" applyFont="1" applyNumberFormat="1">
      <alignment horizontal="center"/>
    </xf>
    <xf borderId="0" fillId="0" fontId="7" numFmtId="165" xfId="0" applyAlignment="1" applyFont="1" applyNumberFormat="1">
      <alignment horizontal="right" vertical="bottom"/>
    </xf>
    <xf borderId="0" fillId="0" fontId="1" numFmtId="165" xfId="0" applyAlignment="1" applyFont="1" applyNumberFormat="1">
      <alignment horizontal="right" readingOrder="0"/>
    </xf>
    <xf borderId="0" fillId="0" fontId="1" numFmtId="165" xfId="0" applyAlignment="1" applyFont="1" applyNumberFormat="1">
      <alignment horizontal="right"/>
    </xf>
    <xf borderId="0" fillId="0" fontId="7" numFmtId="165" xfId="0" applyFont="1" applyNumberFormat="1"/>
    <xf borderId="8" fillId="0" fontId="25" numFmtId="10" xfId="0" applyAlignment="1" applyBorder="1" applyFont="1" applyNumberFormat="1">
      <alignment horizontal="center"/>
    </xf>
    <xf borderId="9" fillId="0" fontId="7" numFmtId="165" xfId="0" applyBorder="1" applyFont="1" applyNumberFormat="1"/>
    <xf borderId="0" fillId="0" fontId="25" numFmtId="165" xfId="0" applyAlignment="1" applyFont="1" applyNumberFormat="1">
      <alignment horizontal="left" vertical="center"/>
    </xf>
    <xf borderId="0" fillId="0" fontId="26" numFmtId="165" xfId="0" applyAlignment="1" applyFont="1" applyNumberFormat="1">
      <alignment horizontal="center" vertical="center"/>
    </xf>
    <xf borderId="0" fillId="0" fontId="25" numFmtId="165" xfId="0" applyAlignment="1" applyFont="1" applyNumberFormat="1">
      <alignment horizontal="right" vertical="center"/>
    </xf>
    <xf borderId="0" fillId="0" fontId="6" numFmtId="165" xfId="0" applyAlignment="1" applyFont="1" applyNumberFormat="1">
      <alignment horizontal="center" vertical="center"/>
    </xf>
    <xf borderId="0" fillId="0" fontId="25" numFmtId="0" xfId="0" applyAlignment="1" applyFont="1">
      <alignment horizontal="left"/>
    </xf>
    <xf borderId="0" fillId="0" fontId="27" numFmtId="0" xfId="0" applyAlignment="1" applyFont="1">
      <alignment horizontal="left"/>
    </xf>
    <xf borderId="0" fillId="0" fontId="25" numFmtId="0" xfId="0" applyAlignment="1" applyFont="1">
      <alignment horizontal="center"/>
    </xf>
    <xf borderId="0" fillId="0" fontId="27" numFmtId="10" xfId="0" applyAlignment="1" applyFont="1" applyNumberFormat="1">
      <alignment horizontal="right"/>
    </xf>
    <xf borderId="0" fillId="0" fontId="8" numFmtId="0" xfId="0" applyFont="1"/>
    <xf borderId="9" fillId="0" fontId="8" numFmtId="0" xfId="0" applyBorder="1" applyFont="1"/>
    <xf borderId="0" fillId="0" fontId="1" numFmtId="168" xfId="0" applyAlignment="1" applyFont="1" applyNumberFormat="1">
      <alignment horizontal="right"/>
    </xf>
    <xf borderId="0" fillId="0" fontId="1" numFmtId="166" xfId="0" applyAlignment="1" applyFont="1" applyNumberFormat="1">
      <alignment horizontal="left"/>
    </xf>
    <xf borderId="0" fillId="0" fontId="1" numFmtId="166" xfId="0" applyAlignment="1" applyFont="1" applyNumberFormat="1">
      <alignment horizontal="center"/>
    </xf>
    <xf borderId="0" fillId="6" fontId="28" numFmtId="165" xfId="0" applyAlignment="1" applyFill="1" applyFont="1" applyNumberFormat="1">
      <alignment horizontal="right" shrinkToFit="0" wrapText="0"/>
    </xf>
    <xf borderId="0" fillId="0" fontId="28" numFmtId="165" xfId="0" applyAlignment="1" applyFont="1" applyNumberFormat="1">
      <alignment horizontal="right" readingOrder="0"/>
    </xf>
    <xf borderId="0" fillId="0" fontId="28" numFmtId="165" xfId="0" applyAlignment="1" applyFont="1" applyNumberFormat="1">
      <alignment horizontal="right"/>
    </xf>
    <xf borderId="0" fillId="0" fontId="28" numFmtId="4" xfId="0" applyAlignment="1" applyFont="1" applyNumberFormat="1">
      <alignment horizontal="right"/>
    </xf>
    <xf borderId="0" fillId="0" fontId="1" numFmtId="166" xfId="0" applyFont="1" applyNumberFormat="1"/>
    <xf borderId="9" fillId="0" fontId="1" numFmtId="166" xfId="0" applyBorder="1" applyFont="1" applyNumberFormat="1"/>
    <xf borderId="0" fillId="0" fontId="28" numFmtId="169" xfId="0" applyAlignment="1" applyFont="1" applyNumberFormat="1">
      <alignment horizontal="center"/>
    </xf>
    <xf borderId="0" fillId="0" fontId="25" numFmtId="10" xfId="0" applyAlignment="1" applyFont="1" applyNumberFormat="1">
      <alignment horizontal="center"/>
    </xf>
    <xf borderId="0" fillId="0" fontId="28" numFmtId="0" xfId="0" applyAlignment="1" applyFont="1">
      <alignment horizontal="right" readingOrder="0"/>
    </xf>
    <xf borderId="0" fillId="0" fontId="24" numFmtId="165" xfId="0" applyAlignment="1" applyFont="1" applyNumberFormat="1">
      <alignment horizontal="left"/>
    </xf>
    <xf borderId="0" fillId="0" fontId="18" numFmtId="165" xfId="0" applyAlignment="1" applyFont="1" applyNumberFormat="1">
      <alignment horizontal="center"/>
    </xf>
    <xf borderId="0" fillId="0" fontId="24" numFmtId="165" xfId="0" applyAlignment="1" applyFont="1" applyNumberFormat="1">
      <alignment horizontal="right"/>
    </xf>
    <xf borderId="0" fillId="0" fontId="21" numFmtId="165" xfId="0" applyFont="1" applyNumberFormat="1"/>
    <xf borderId="9" fillId="0" fontId="21" numFmtId="165" xfId="0" applyBorder="1" applyFont="1" applyNumberFormat="1"/>
    <xf borderId="0" fillId="0" fontId="8" numFmtId="165" xfId="0" applyAlignment="1" applyFont="1" applyNumberFormat="1">
      <alignment horizontal="center"/>
    </xf>
    <xf borderId="0" fillId="0" fontId="1" numFmtId="170" xfId="0" applyAlignment="1" applyFont="1" applyNumberFormat="1">
      <alignment horizontal="right"/>
    </xf>
    <xf borderId="0" fillId="0" fontId="27" numFmtId="165" xfId="0" applyAlignment="1" applyFont="1" applyNumberFormat="1">
      <alignment horizontal="left"/>
    </xf>
    <xf borderId="10" fillId="0" fontId="27" numFmtId="165" xfId="0" applyAlignment="1" applyBorder="1" applyFont="1" applyNumberFormat="1">
      <alignment horizontal="left"/>
    </xf>
    <xf borderId="10" fillId="0" fontId="29" numFmtId="165" xfId="0" applyAlignment="1" applyBorder="1" applyFont="1" applyNumberFormat="1">
      <alignment horizontal="left"/>
    </xf>
    <xf borderId="10" fillId="0" fontId="29" numFmtId="165" xfId="0" applyAlignment="1" applyBorder="1" applyFont="1" applyNumberFormat="1">
      <alignment horizontal="center"/>
    </xf>
    <xf borderId="10" fillId="0" fontId="30" numFmtId="165" xfId="0" applyAlignment="1" applyBorder="1" applyFont="1" applyNumberFormat="1">
      <alignment horizontal="right"/>
    </xf>
    <xf borderId="0" fillId="0" fontId="25" numFmtId="10" xfId="0" applyAlignment="1" applyFont="1" applyNumberFormat="1">
      <alignment horizontal="right"/>
    </xf>
    <xf borderId="0" fillId="0" fontId="29" numFmtId="165" xfId="0" applyAlignment="1" applyFont="1" applyNumberFormat="1">
      <alignment horizontal="left"/>
    </xf>
    <xf borderId="0" fillId="0" fontId="29" numFmtId="165" xfId="0" applyAlignment="1" applyFont="1" applyNumberFormat="1">
      <alignment horizontal="center"/>
    </xf>
    <xf borderId="0" fillId="0" fontId="29" numFmtId="165" xfId="0" applyAlignment="1" applyFont="1" applyNumberFormat="1">
      <alignment horizontal="right"/>
    </xf>
    <xf borderId="11" fillId="0" fontId="25" numFmtId="0" xfId="0" applyAlignment="1" applyBorder="1" applyFont="1">
      <alignment horizontal="left"/>
    </xf>
    <xf borderId="11" fillId="0" fontId="25" numFmtId="0" xfId="0" applyBorder="1" applyFont="1"/>
    <xf borderId="11" fillId="0" fontId="25" numFmtId="0" xfId="0" applyAlignment="1" applyBorder="1" applyFont="1">
      <alignment horizontal="center"/>
    </xf>
    <xf borderId="11" fillId="0" fontId="25" numFmtId="10" xfId="0" applyAlignment="1" applyBorder="1" applyFont="1" applyNumberFormat="1">
      <alignment horizontal="right"/>
    </xf>
    <xf borderId="0" fillId="0" fontId="31" numFmtId="169" xfId="0" applyAlignment="1" applyFont="1" applyNumberFormat="1">
      <alignment horizontal="right"/>
    </xf>
    <xf borderId="0" fillId="0" fontId="31" numFmtId="171" xfId="0" applyAlignment="1" applyFont="1" applyNumberFormat="1">
      <alignment horizontal="right" vertical="center"/>
    </xf>
    <xf borderId="0" fillId="0" fontId="31" numFmtId="171" xfId="0" applyAlignment="1" applyFont="1" applyNumberFormat="1">
      <alignment horizontal="right"/>
    </xf>
    <xf borderId="0" fillId="0" fontId="28" numFmtId="171" xfId="0" applyAlignment="1" applyFont="1" applyNumberFormat="1">
      <alignment horizontal="right"/>
    </xf>
    <xf borderId="0" fillId="6" fontId="28" numFmtId="0" xfId="0" applyAlignment="1" applyFont="1">
      <alignment horizontal="right" shrinkToFit="0" wrapText="0"/>
    </xf>
    <xf borderId="0" fillId="7" fontId="28" numFmtId="0" xfId="0" applyAlignment="1" applyFill="1" applyFont="1">
      <alignment horizontal="right" readingOrder="0"/>
    </xf>
    <xf borderId="0" fillId="7" fontId="28" numFmtId="165" xfId="0" applyAlignment="1" applyFont="1" applyNumberFormat="1">
      <alignment horizontal="right"/>
    </xf>
    <xf borderId="0" fillId="0" fontId="7" numFmtId="0" xfId="0" applyFont="1"/>
    <xf borderId="0" fillId="0" fontId="7" numFmtId="4" xfId="0" applyFont="1" applyNumberFormat="1"/>
    <xf borderId="0" fillId="7" fontId="28" numFmtId="4" xfId="0" applyAlignment="1" applyFont="1" applyNumberFormat="1">
      <alignment horizontal="right"/>
    </xf>
    <xf borderId="0" fillId="0" fontId="25" numFmtId="165" xfId="0" applyAlignment="1" applyFont="1" applyNumberFormat="1">
      <alignment horizontal="left"/>
    </xf>
    <xf borderId="0" fillId="0" fontId="25" numFmtId="165" xfId="0" applyAlignment="1" applyFont="1" applyNumberFormat="1">
      <alignment horizontal="center"/>
    </xf>
    <xf borderId="0" fillId="0" fontId="25" numFmtId="165" xfId="0" applyAlignment="1" applyFont="1" applyNumberFormat="1">
      <alignment horizontal="right"/>
    </xf>
    <xf borderId="0" fillId="0" fontId="32" numFmtId="0" xfId="0" applyAlignment="1" applyFont="1">
      <alignment horizontal="right" vertical="bottom"/>
    </xf>
    <xf borderId="0" fillId="0" fontId="32" numFmtId="4" xfId="0" applyAlignment="1" applyFont="1" applyNumberFormat="1">
      <alignment horizontal="right" vertical="bottom"/>
    </xf>
    <xf borderId="0" fillId="0" fontId="31" numFmtId="4" xfId="0" applyAlignment="1" applyFont="1" applyNumberFormat="1">
      <alignment horizontal="right"/>
    </xf>
    <xf borderId="0" fillId="0" fontId="31" numFmtId="0" xfId="0" applyAlignment="1" applyFont="1">
      <alignment horizontal="right"/>
    </xf>
    <xf borderId="0" fillId="0" fontId="31" numFmtId="165" xfId="0" applyAlignment="1" applyFont="1" applyNumberFormat="1">
      <alignment horizontal="right"/>
    </xf>
    <xf borderId="0" fillId="0" fontId="6" numFmtId="165" xfId="0" applyAlignment="1" applyFont="1" applyNumberFormat="1">
      <alignment horizontal="left"/>
    </xf>
    <xf borderId="0" fillId="0" fontId="6" numFmtId="165" xfId="0" applyAlignment="1" applyFont="1" applyNumberFormat="1">
      <alignment horizontal="center"/>
    </xf>
    <xf borderId="0" fillId="6" fontId="33" numFmtId="4" xfId="0" applyAlignment="1" applyFont="1" applyNumberFormat="1">
      <alignment horizontal="right" shrinkToFit="0" wrapText="0"/>
    </xf>
    <xf borderId="0" fillId="0" fontId="31" numFmtId="165" xfId="0" applyAlignment="1" applyFont="1" applyNumberFormat="1">
      <alignment horizontal="right" readingOrder="0"/>
    </xf>
    <xf borderId="0" fillId="0" fontId="31" numFmtId="168" xfId="0" applyAlignment="1" applyFont="1" applyNumberFormat="1">
      <alignment horizontal="right"/>
    </xf>
    <xf borderId="0" fillId="0" fontId="6" numFmtId="165" xfId="0" applyFont="1" applyNumberFormat="1"/>
    <xf borderId="0" fillId="0" fontId="31" numFmtId="0" xfId="0" applyAlignment="1" applyFont="1">
      <alignment horizontal="right"/>
    </xf>
    <xf borderId="0" fillId="0" fontId="31" numFmtId="0" xfId="0" applyAlignment="1" applyFont="1">
      <alignment horizontal="right" readingOrder="0"/>
    </xf>
    <xf borderId="0" fillId="0" fontId="34" numFmtId="165" xfId="0" applyFont="1" applyNumberFormat="1"/>
    <xf borderId="0" fillId="6" fontId="31" numFmtId="0" xfId="0" applyAlignment="1" applyFont="1">
      <alignment horizontal="right" shrinkToFit="0" wrapText="0"/>
    </xf>
    <xf borderId="0" fillId="0" fontId="7" numFmtId="0" xfId="0" applyAlignment="1" applyFont="1">
      <alignment readingOrder="0"/>
    </xf>
    <xf borderId="0" fillId="0" fontId="7" numFmtId="2" xfId="0" applyFont="1" applyNumberFormat="1"/>
    <xf borderId="0" fillId="0" fontId="35" numFmtId="165" xfId="0" applyAlignment="1" applyFont="1" applyNumberFormat="1">
      <alignment horizontal="left"/>
    </xf>
    <xf borderId="0" fillId="0" fontId="35" numFmtId="165" xfId="0" applyAlignment="1" applyFont="1" applyNumberFormat="1">
      <alignment horizontal="left" readingOrder="0"/>
    </xf>
    <xf borderId="0" fillId="0" fontId="35" numFmtId="165" xfId="0" applyAlignment="1" applyFont="1" applyNumberFormat="1">
      <alignment horizontal="center"/>
    </xf>
    <xf borderId="0" fillId="0" fontId="35" numFmtId="165" xfId="0" applyAlignment="1" applyFont="1" applyNumberFormat="1">
      <alignment horizontal="right"/>
    </xf>
    <xf borderId="0" fillId="0" fontId="36" numFmtId="165" xfId="0" applyFont="1" applyNumberFormat="1"/>
    <xf borderId="0" fillId="0" fontId="19" numFmtId="0" xfId="0" applyFont="1"/>
    <xf borderId="9" fillId="0" fontId="19" numFmtId="0" xfId="0" applyBorder="1" applyFont="1"/>
    <xf borderId="0" fillId="0" fontId="37" numFmtId="165" xfId="0" applyAlignment="1" applyFont="1" applyNumberFormat="1">
      <alignment horizontal="right" shrinkToFit="0" wrapText="0"/>
    </xf>
    <xf borderId="12" fillId="0" fontId="14" numFmtId="10" xfId="0" applyAlignment="1" applyBorder="1" applyFont="1" applyNumberFormat="1">
      <alignment horizontal="center" vertical="bottom"/>
    </xf>
    <xf borderId="13" fillId="0" fontId="10" numFmtId="0" xfId="0" applyBorder="1" applyFont="1"/>
    <xf borderId="12" fillId="0" fontId="15" numFmtId="10" xfId="0" applyAlignment="1" applyBorder="1" applyFont="1" applyNumberFormat="1">
      <alignment horizontal="center" vertical="bottom"/>
    </xf>
    <xf borderId="0" fillId="8" fontId="38" numFmtId="0" xfId="0" applyAlignment="1" applyFill="1" applyFont="1">
      <alignment horizontal="left"/>
    </xf>
    <xf borderId="1" fillId="8" fontId="38" numFmtId="0" xfId="0" applyAlignment="1" applyBorder="1" applyFont="1">
      <alignment horizontal="left"/>
    </xf>
    <xf borderId="1" fillId="8" fontId="1" numFmtId="0" xfId="0" applyAlignment="1" applyBorder="1" applyFont="1">
      <alignment horizontal="left"/>
    </xf>
    <xf borderId="1" fillId="8" fontId="1" numFmtId="0" xfId="0" applyAlignment="1" applyBorder="1" applyFont="1">
      <alignment horizontal="center"/>
    </xf>
    <xf borderId="0" fillId="0" fontId="1" numFmtId="10" xfId="0" applyAlignment="1" applyFont="1" applyNumberFormat="1">
      <alignment horizontal="right" readingOrder="0"/>
    </xf>
    <xf borderId="0" fillId="0" fontId="6" numFmtId="166" xfId="0" applyAlignment="1" applyFont="1" applyNumberFormat="1">
      <alignment horizontal="left"/>
    </xf>
    <xf borderId="0" fillId="0" fontId="6" numFmtId="0" xfId="0" applyAlignment="1" applyFont="1">
      <alignment horizontal="left"/>
    </xf>
    <xf borderId="0" fillId="0" fontId="1" numFmtId="10" xfId="0" applyAlignment="1" applyFont="1" applyNumberFormat="1">
      <alignment horizontal="center"/>
    </xf>
    <xf borderId="0" fillId="0" fontId="1" numFmtId="9" xfId="0" applyAlignment="1" applyFont="1" applyNumberFormat="1">
      <alignment horizontal="right"/>
    </xf>
    <xf borderId="0" fillId="0" fontId="39" numFmtId="0" xfId="0" applyAlignment="1" applyFont="1">
      <alignment horizontal="center"/>
    </xf>
    <xf borderId="0" fillId="0" fontId="40" numFmtId="0" xfId="0" applyAlignment="1" applyFont="1">
      <alignment horizontal="left" readingOrder="0"/>
    </xf>
    <xf borderId="0" fillId="0" fontId="6" numFmtId="10" xfId="0" applyAlignment="1" applyFont="1" applyNumberFormat="1">
      <alignment horizontal="right"/>
    </xf>
    <xf borderId="0" fillId="3" fontId="39" numFmtId="0" xfId="0" applyAlignment="1" applyFont="1">
      <alignment horizontal="center"/>
    </xf>
    <xf borderId="2" fillId="3" fontId="39" numFmtId="0" xfId="0" applyAlignment="1" applyBorder="1" applyFont="1">
      <alignment horizontal="center"/>
    </xf>
    <xf borderId="14" fillId="4" fontId="5" numFmtId="10" xfId="0" applyAlignment="1" applyBorder="1" applyFont="1" applyNumberFormat="1">
      <alignment horizontal="center"/>
    </xf>
    <xf borderId="15" fillId="0" fontId="10" numFmtId="0" xfId="0" applyBorder="1" applyFont="1"/>
    <xf borderId="16" fillId="0" fontId="1" numFmtId="165" xfId="0" applyAlignment="1" applyBorder="1" applyFont="1" applyNumberFormat="1">
      <alignment horizontal="left"/>
    </xf>
    <xf borderId="17" fillId="0" fontId="1" numFmtId="165" xfId="0" applyAlignment="1" applyBorder="1" applyFont="1" applyNumberFormat="1">
      <alignment horizontal="left"/>
    </xf>
    <xf borderId="17" fillId="0" fontId="1" numFmtId="165" xfId="0" applyAlignment="1" applyBorder="1" applyFont="1" applyNumberFormat="1">
      <alignment horizontal="center"/>
    </xf>
    <xf borderId="17" fillId="0" fontId="31" numFmtId="4" xfId="0" applyAlignment="1" applyBorder="1" applyFont="1" applyNumberFormat="1">
      <alignment horizontal="right"/>
    </xf>
    <xf borderId="17" fillId="0" fontId="1" numFmtId="4" xfId="0" applyAlignment="1" applyBorder="1" applyFont="1" applyNumberFormat="1">
      <alignment horizontal="right"/>
    </xf>
    <xf borderId="18" fillId="9" fontId="1" numFmtId="4" xfId="0" applyAlignment="1" applyBorder="1" applyFill="1" applyFont="1" applyNumberFormat="1">
      <alignment horizontal="right" readingOrder="0"/>
    </xf>
    <xf borderId="19" fillId="9" fontId="1" numFmtId="165" xfId="0" applyAlignment="1" applyBorder="1" applyFont="1" applyNumberFormat="1">
      <alignment horizontal="right"/>
    </xf>
    <xf borderId="0" fillId="9" fontId="1" numFmtId="165" xfId="0" applyAlignment="1" applyFont="1" applyNumberFormat="1">
      <alignment horizontal="right"/>
    </xf>
    <xf borderId="0" fillId="0" fontId="1" numFmtId="165" xfId="0" applyFont="1" applyNumberFormat="1"/>
    <xf borderId="0" fillId="0" fontId="1" numFmtId="10" xfId="0" applyFont="1" applyNumberFormat="1"/>
    <xf borderId="0" fillId="0" fontId="2" numFmtId="165" xfId="0" applyAlignment="1" applyFont="1" applyNumberFormat="1">
      <alignment horizontal="center"/>
    </xf>
    <xf borderId="1" fillId="6" fontId="31" numFmtId="4" xfId="0" applyAlignment="1" applyBorder="1" applyFont="1" applyNumberFormat="1">
      <alignment horizontal="right"/>
    </xf>
    <xf borderId="0" fillId="6" fontId="31" numFmtId="4" xfId="0" applyAlignment="1" applyFont="1" applyNumberFormat="1">
      <alignment horizontal="right" shrinkToFit="0" wrapText="0"/>
    </xf>
    <xf borderId="0" fillId="0" fontId="6" numFmtId="165" xfId="0" applyAlignment="1" applyFont="1" applyNumberFormat="1">
      <alignment horizontal="right"/>
    </xf>
    <xf borderId="0" fillId="6" fontId="2" numFmtId="165" xfId="0" applyAlignment="1" applyFont="1" applyNumberFormat="1">
      <alignment horizontal="left"/>
    </xf>
    <xf borderId="1" fillId="6" fontId="2" numFmtId="165" xfId="0" applyAlignment="1" applyBorder="1" applyFont="1" applyNumberFormat="1">
      <alignment horizontal="left"/>
    </xf>
    <xf borderId="1" fillId="6" fontId="2" numFmtId="165" xfId="0" applyAlignment="1" applyBorder="1" applyFont="1" applyNumberFormat="1">
      <alignment horizontal="center"/>
    </xf>
    <xf borderId="1" fillId="6" fontId="31" numFmtId="165" xfId="0" applyAlignment="1" applyBorder="1" applyFont="1" applyNumberFormat="1">
      <alignment horizontal="right"/>
    </xf>
    <xf borderId="2" fillId="6" fontId="31" numFmtId="165" xfId="0" applyAlignment="1" applyBorder="1" applyFont="1" applyNumberFormat="1">
      <alignment horizontal="right"/>
    </xf>
    <xf borderId="0" fillId="6" fontId="31" numFmtId="165" xfId="0" applyAlignment="1" applyFont="1" applyNumberFormat="1">
      <alignment horizontal="right"/>
    </xf>
    <xf borderId="20" fillId="6" fontId="6" numFmtId="165" xfId="0" applyBorder="1" applyFont="1" applyNumberFormat="1"/>
    <xf borderId="1" fillId="6" fontId="6" numFmtId="10" xfId="0" applyBorder="1" applyFont="1" applyNumberFormat="1"/>
    <xf borderId="0" fillId="6" fontId="31" numFmtId="165" xfId="0" applyAlignment="1" applyFont="1" applyNumberFormat="1">
      <alignment horizontal="left" shrinkToFit="0" wrapText="0"/>
    </xf>
    <xf borderId="0" fillId="0" fontId="6" numFmtId="4" xfId="0" applyAlignment="1" applyFont="1" applyNumberFormat="1">
      <alignment horizontal="right"/>
    </xf>
    <xf borderId="0" fillId="0" fontId="1" numFmtId="4" xfId="0" applyAlignment="1" applyFont="1" applyNumberFormat="1">
      <alignment horizontal="right"/>
    </xf>
    <xf borderId="0" fillId="0" fontId="2" numFmtId="10" xfId="0" applyFont="1" applyNumberFormat="1"/>
    <xf borderId="0" fillId="0" fontId="25" numFmtId="165" xfId="0" applyFont="1" applyNumberFormat="1"/>
    <xf borderId="0" fillId="0" fontId="25" numFmtId="10" xfId="0" applyFont="1" applyNumberFormat="1"/>
    <xf borderId="0" fillId="0" fontId="41" numFmtId="0" xfId="0" applyAlignment="1" applyFont="1">
      <alignment horizontal="left"/>
    </xf>
    <xf borderId="0" fillId="0" fontId="41" numFmtId="0" xfId="0" applyAlignment="1" applyFont="1">
      <alignment horizontal="center"/>
    </xf>
    <xf borderId="0" fillId="0" fontId="41" numFmtId="10" xfId="0" applyAlignment="1" applyFont="1" applyNumberFormat="1">
      <alignment horizontal="right"/>
    </xf>
    <xf borderId="0" fillId="0" fontId="42" numFmtId="0" xfId="0" applyFont="1"/>
    <xf borderId="0" fillId="0" fontId="42" numFmtId="10" xfId="0" applyFont="1" applyNumberFormat="1"/>
    <xf borderId="0" fillId="0" fontId="1" numFmtId="172" xfId="0" applyAlignment="1" applyFont="1" applyNumberFormat="1">
      <alignment horizontal="center"/>
    </xf>
    <xf borderId="0" fillId="0" fontId="1" numFmtId="172" xfId="0" applyAlignment="1" applyFont="1" applyNumberFormat="1">
      <alignment horizontal="right"/>
    </xf>
    <xf borderId="5" fillId="0" fontId="1" numFmtId="165" xfId="0" applyAlignment="1" applyBorder="1" applyFont="1" applyNumberFormat="1">
      <alignment horizontal="left"/>
    </xf>
    <xf borderId="6" fillId="0" fontId="1" numFmtId="165" xfId="0" applyAlignment="1" applyBorder="1" applyFont="1" applyNumberFormat="1">
      <alignment horizontal="left"/>
    </xf>
    <xf borderId="6" fillId="0" fontId="1" numFmtId="165" xfId="0" applyAlignment="1" applyBorder="1" applyFont="1" applyNumberFormat="1">
      <alignment horizontal="center"/>
    </xf>
    <xf borderId="6" fillId="0" fontId="1" numFmtId="4" xfId="0" applyAlignment="1" applyBorder="1" applyFont="1" applyNumberFormat="1">
      <alignment horizontal="center"/>
    </xf>
    <xf borderId="6" fillId="0" fontId="1" numFmtId="4" xfId="0" applyAlignment="1" applyBorder="1" applyFont="1" applyNumberFormat="1">
      <alignment horizontal="right"/>
    </xf>
    <xf borderId="6" fillId="0" fontId="1" numFmtId="165" xfId="0" applyAlignment="1" applyBorder="1" applyFont="1" applyNumberFormat="1">
      <alignment horizontal="right" readingOrder="0"/>
    </xf>
    <xf borderId="6" fillId="0" fontId="1" numFmtId="165" xfId="0" applyAlignment="1" applyBorder="1" applyFont="1" applyNumberFormat="1">
      <alignment horizontal="right"/>
    </xf>
    <xf borderId="21" fillId="0" fontId="1" numFmtId="165" xfId="0" applyAlignment="1" applyBorder="1" applyFont="1" applyNumberFormat="1">
      <alignment horizontal="left"/>
    </xf>
    <xf borderId="22" fillId="0" fontId="1" numFmtId="165" xfId="0" applyAlignment="1" applyBorder="1" applyFont="1" applyNumberFormat="1">
      <alignment horizontal="left"/>
    </xf>
    <xf borderId="22" fillId="0" fontId="1" numFmtId="165" xfId="0" applyAlignment="1" applyBorder="1" applyFont="1" applyNumberFormat="1">
      <alignment horizontal="center"/>
    </xf>
    <xf borderId="22" fillId="0" fontId="1" numFmtId="4" xfId="0" applyAlignment="1" applyBorder="1" applyFont="1" applyNumberFormat="1">
      <alignment horizontal="center"/>
    </xf>
    <xf borderId="22" fillId="0" fontId="1" numFmtId="4" xfId="0" applyAlignment="1" applyBorder="1" applyFont="1" applyNumberFormat="1">
      <alignment horizontal="right"/>
    </xf>
    <xf borderId="22" fillId="10" fontId="1" numFmtId="4" xfId="0" applyAlignment="1" applyBorder="1" applyFill="1" applyFont="1" applyNumberFormat="1">
      <alignment horizontal="right" readingOrder="0"/>
    </xf>
    <xf borderId="22" fillId="10" fontId="1" numFmtId="165" xfId="0" applyAlignment="1" applyBorder="1" applyFont="1" applyNumberFormat="1">
      <alignment horizontal="right"/>
    </xf>
    <xf borderId="0" fillId="10" fontId="1" numFmtId="165" xfId="0" applyAlignment="1" applyFont="1" applyNumberFormat="1">
      <alignment horizontal="right"/>
    </xf>
    <xf borderId="22" fillId="0" fontId="1" numFmtId="165" xfId="0" applyAlignment="1" applyBorder="1" applyFont="1" applyNumberFormat="1">
      <alignment horizontal="right"/>
    </xf>
    <xf borderId="5" fillId="0" fontId="25" numFmtId="165" xfId="0" applyAlignment="1" applyBorder="1" applyFont="1" applyNumberFormat="1">
      <alignment horizontal="left"/>
    </xf>
    <xf borderId="6" fillId="0" fontId="25" numFmtId="165" xfId="0" applyAlignment="1" applyBorder="1" applyFont="1" applyNumberFormat="1">
      <alignment horizontal="left"/>
    </xf>
    <xf borderId="6" fillId="0" fontId="25" numFmtId="165" xfId="0" applyAlignment="1" applyBorder="1" applyFont="1" applyNumberFormat="1">
      <alignment horizontal="center"/>
    </xf>
    <xf borderId="23" fillId="6" fontId="37" numFmtId="4" xfId="0" applyAlignment="1" applyBorder="1" applyFont="1" applyNumberFormat="1">
      <alignment horizontal="center"/>
    </xf>
    <xf borderId="23" fillId="6" fontId="37" numFmtId="4" xfId="0" applyAlignment="1" applyBorder="1" applyFont="1" applyNumberFormat="1">
      <alignment horizontal="right"/>
    </xf>
    <xf borderId="23" fillId="6" fontId="37" numFmtId="4" xfId="0" applyAlignment="1" applyBorder="1" applyFont="1" applyNumberFormat="1">
      <alignment horizontal="right" readingOrder="0"/>
    </xf>
    <xf borderId="24" fillId="6" fontId="37" numFmtId="165" xfId="0" applyAlignment="1" applyBorder="1" applyFont="1" applyNumberFormat="1">
      <alignment horizontal="right"/>
    </xf>
    <xf borderId="0" fillId="6" fontId="37" numFmtId="165" xfId="0" applyAlignment="1" applyFont="1" applyNumberFormat="1">
      <alignment horizontal="right"/>
    </xf>
    <xf borderId="0" fillId="0" fontId="19" numFmtId="10" xfId="0" applyFont="1" applyNumberFormat="1"/>
    <xf borderId="8" fillId="0" fontId="1" numFmtId="165" xfId="0" applyAlignment="1" applyBorder="1" applyFont="1" applyNumberFormat="1">
      <alignment horizontal="left"/>
    </xf>
    <xf borderId="0" fillId="0" fontId="28" numFmtId="4" xfId="0" applyAlignment="1" applyFont="1" applyNumberFormat="1">
      <alignment horizontal="center"/>
    </xf>
    <xf borderId="0" fillId="0" fontId="28" numFmtId="4" xfId="0" applyAlignment="1" applyFont="1" applyNumberFormat="1">
      <alignment horizontal="right" readingOrder="0"/>
    </xf>
    <xf borderId="8" fillId="0" fontId="27" numFmtId="165" xfId="0" applyAlignment="1" applyBorder="1" applyFont="1" applyNumberFormat="1">
      <alignment horizontal="left"/>
    </xf>
    <xf borderId="0" fillId="0" fontId="27" numFmtId="165" xfId="0" applyAlignment="1" applyFont="1" applyNumberFormat="1">
      <alignment horizontal="center"/>
    </xf>
    <xf borderId="0" fillId="0" fontId="43" numFmtId="165" xfId="0" applyAlignment="1" applyFont="1" applyNumberFormat="1">
      <alignment horizontal="right"/>
    </xf>
    <xf borderId="0" fillId="0" fontId="27" numFmtId="165" xfId="0" applyFont="1" applyNumberFormat="1"/>
    <xf borderId="0" fillId="0" fontId="27" numFmtId="10" xfId="0" applyFont="1" applyNumberFormat="1"/>
    <xf borderId="21" fillId="0" fontId="25" numFmtId="0" xfId="0" applyAlignment="1" applyBorder="1" applyFont="1">
      <alignment horizontal="left"/>
    </xf>
    <xf borderId="22" fillId="0" fontId="25" numFmtId="0" xfId="0" applyAlignment="1" applyBorder="1" applyFont="1">
      <alignment horizontal="left"/>
    </xf>
    <xf borderId="22" fillId="0" fontId="25" numFmtId="0" xfId="0" applyAlignment="1" applyBorder="1" applyFont="1">
      <alignment horizontal="center"/>
    </xf>
    <xf borderId="22" fillId="0" fontId="25" numFmtId="172" xfId="0" applyAlignment="1" applyBorder="1" applyFont="1" applyNumberFormat="1">
      <alignment horizontal="center"/>
    </xf>
    <xf borderId="22" fillId="0" fontId="25" numFmtId="172" xfId="0" applyAlignment="1" applyBorder="1" applyFont="1" applyNumberFormat="1">
      <alignment horizontal="right"/>
    </xf>
    <xf borderId="22" fillId="0" fontId="25" numFmtId="10" xfId="0" applyAlignment="1" applyBorder="1" applyFont="1" applyNumberFormat="1">
      <alignment horizontal="right"/>
    </xf>
    <xf borderId="0" fillId="0" fontId="7" numFmtId="165" xfId="0" applyAlignment="1" applyFont="1" applyNumberFormat="1">
      <alignment vertical="bottom"/>
    </xf>
    <xf borderId="5" fillId="0" fontId="19" numFmtId="165" xfId="0" applyAlignment="1" applyBorder="1" applyFont="1" applyNumberFormat="1">
      <alignment vertical="bottom"/>
    </xf>
    <xf borderId="6" fillId="0" fontId="7" numFmtId="165" xfId="0" applyAlignment="1" applyBorder="1" applyFont="1" applyNumberFormat="1">
      <alignment vertical="bottom"/>
    </xf>
    <xf borderId="6" fillId="0" fontId="19" numFmtId="165" xfId="0" applyAlignment="1" applyBorder="1" applyFont="1" applyNumberFormat="1">
      <alignment horizontal="right" vertical="bottom"/>
    </xf>
    <xf borderId="6" fillId="10" fontId="19" numFmtId="165" xfId="0" applyAlignment="1" applyBorder="1" applyFont="1" applyNumberFormat="1">
      <alignment horizontal="right" vertical="bottom"/>
    </xf>
    <xf borderId="7" fillId="10" fontId="19" numFmtId="165" xfId="0" applyAlignment="1" applyBorder="1" applyFont="1" applyNumberFormat="1">
      <alignment horizontal="right" vertical="bottom"/>
    </xf>
    <xf borderId="8" fillId="0" fontId="19" numFmtId="165" xfId="0" applyAlignment="1" applyBorder="1" applyFont="1" applyNumberFormat="1">
      <alignment vertical="bottom"/>
    </xf>
    <xf borderId="0" fillId="10" fontId="19" numFmtId="165" xfId="0" applyAlignment="1" applyFont="1" applyNumberFormat="1">
      <alignment horizontal="right" vertical="bottom"/>
    </xf>
    <xf borderId="9" fillId="10" fontId="19" numFmtId="165" xfId="0" applyAlignment="1" applyBorder="1" applyFont="1" applyNumberFormat="1">
      <alignment horizontal="right" vertical="bottom"/>
    </xf>
    <xf borderId="8" fillId="0" fontId="19" numFmtId="165" xfId="0" applyAlignment="1" applyBorder="1" applyFont="1" applyNumberFormat="1">
      <alignment readingOrder="0" vertical="bottom"/>
    </xf>
    <xf borderId="8" fillId="0" fontId="15" numFmtId="165" xfId="0" applyAlignment="1" applyBorder="1" applyFont="1" applyNumberFormat="1">
      <alignment vertical="bottom"/>
    </xf>
    <xf borderId="0" fillId="0" fontId="7" numFmtId="172" xfId="0" applyAlignment="1" applyFont="1" applyNumberFormat="1">
      <alignment vertical="bottom"/>
    </xf>
    <xf borderId="0" fillId="0" fontId="15" numFmtId="10" xfId="0" applyAlignment="1" applyFont="1" applyNumberFormat="1">
      <alignment horizontal="right" vertical="bottom"/>
    </xf>
    <xf borderId="8" fillId="0" fontId="11" numFmtId="165" xfId="0" applyAlignment="1" applyBorder="1" applyFont="1" applyNumberFormat="1">
      <alignment vertical="bottom"/>
    </xf>
    <xf borderId="9" fillId="0" fontId="11" numFmtId="165" xfId="0" applyAlignment="1" applyBorder="1" applyFont="1" applyNumberFormat="1">
      <alignment horizontal="right" vertical="bottom"/>
    </xf>
    <xf borderId="25" fillId="0" fontId="14" numFmtId="10" xfId="0" applyAlignment="1" applyBorder="1" applyFont="1" applyNumberFormat="1">
      <alignment horizontal="center" vertical="bottom"/>
    </xf>
    <xf borderId="26" fillId="0" fontId="10" numFmtId="0" xfId="0" applyBorder="1" applyFont="1"/>
    <xf borderId="25" fillId="0" fontId="15" numFmtId="10" xfId="0" applyAlignment="1" applyBorder="1" applyFont="1" applyNumberFormat="1">
      <alignment horizontal="center" vertical="bottom"/>
    </xf>
    <xf borderId="8" fillId="0" fontId="7" numFmtId="165" xfId="0" applyAlignment="1" applyBorder="1" applyFont="1" applyNumberFormat="1">
      <alignment vertical="bottom"/>
    </xf>
    <xf borderId="0" fillId="0" fontId="7" numFmtId="10" xfId="0" applyAlignment="1" applyFont="1" applyNumberFormat="1">
      <alignment vertical="bottom"/>
    </xf>
    <xf borderId="0" fillId="0" fontId="7" numFmtId="10" xfId="0" applyAlignment="1" applyFont="1" applyNumberFormat="1">
      <alignment horizontal="right" vertical="bottom"/>
    </xf>
    <xf borderId="9" fillId="0" fontId="7" numFmtId="10" xfId="0" applyAlignment="1" applyBorder="1" applyFont="1" applyNumberFormat="1">
      <alignment horizontal="right" vertical="bottom"/>
    </xf>
    <xf borderId="0" fillId="0" fontId="19" numFmtId="10" xfId="0" applyAlignment="1" applyFont="1" applyNumberFormat="1">
      <alignment horizontal="right" vertical="bottom"/>
    </xf>
    <xf borderId="8" fillId="0" fontId="14" numFmtId="165" xfId="0" applyAlignment="1" applyBorder="1" applyFont="1" applyNumberFormat="1">
      <alignment vertical="bottom"/>
    </xf>
    <xf borderId="0" fillId="0" fontId="14" numFmtId="165" xfId="0" applyAlignment="1" applyFont="1" applyNumberFormat="1">
      <alignment horizontal="right" vertical="bottom"/>
    </xf>
    <xf borderId="21" fillId="0" fontId="7" numFmtId="165" xfId="0" applyAlignment="1" applyBorder="1" applyFont="1" applyNumberFormat="1">
      <alignment vertical="bottom"/>
    </xf>
    <xf borderId="22" fillId="0" fontId="7" numFmtId="165" xfId="0" applyAlignment="1" applyBorder="1" applyFont="1" applyNumberFormat="1">
      <alignment vertical="bottom"/>
    </xf>
    <xf borderId="22" fillId="0" fontId="7" numFmtId="172" xfId="0" applyAlignment="1" applyBorder="1" applyFont="1" applyNumberFormat="1">
      <alignment vertical="bottom"/>
    </xf>
    <xf borderId="22" fillId="0" fontId="7" numFmtId="10" xfId="0" applyAlignment="1" applyBorder="1" applyFont="1" applyNumberFormat="1">
      <alignment vertical="bottom"/>
    </xf>
    <xf borderId="22" fillId="0" fontId="7" numFmtId="10" xfId="0" applyAlignment="1" applyBorder="1" applyFont="1" applyNumberFormat="1">
      <alignment horizontal="right" vertical="bottom"/>
    </xf>
    <xf borderId="27" fillId="0" fontId="7" numFmtId="10" xfId="0" applyAlignment="1" applyBorder="1" applyFont="1" applyNumberFormat="1">
      <alignment horizontal="right" vertical="bottom"/>
    </xf>
    <xf borderId="0" fillId="0" fontId="14" numFmtId="165" xfId="0" applyAlignment="1" applyFont="1" applyNumberFormat="1">
      <alignment vertical="bottom"/>
    </xf>
    <xf borderId="0" fillId="0" fontId="14" numFmtId="10" xfId="0" applyAlignment="1" applyFont="1" applyNumberFormat="1">
      <alignment horizontal="right" vertical="bottom"/>
    </xf>
    <xf borderId="0" fillId="0" fontId="11" numFmtId="0" xfId="0" applyAlignment="1" applyFont="1">
      <alignment vertical="bottom"/>
    </xf>
    <xf borderId="0" fillId="0" fontId="11" numFmtId="10" xfId="0" applyAlignment="1" applyFont="1" applyNumberFormat="1">
      <alignment horizontal="right" vertical="bottom"/>
    </xf>
    <xf borderId="0" fillId="0" fontId="7" numFmtId="0" xfId="0" applyAlignment="1" applyFont="1">
      <alignment vertical="bottom"/>
    </xf>
    <xf borderId="0" fillId="0" fontId="38" numFmtId="0" xfId="0" applyAlignment="1" applyFont="1">
      <alignment horizontal="left"/>
    </xf>
    <xf borderId="2" fillId="8" fontId="1" numFmtId="0" xfId="0" applyAlignment="1" applyBorder="1" applyFont="1">
      <alignment horizontal="center"/>
    </xf>
    <xf borderId="0" fillId="8" fontId="1" numFmtId="0" xfId="0" applyAlignment="1" applyFont="1">
      <alignment horizontal="center"/>
    </xf>
    <xf borderId="0" fillId="11" fontId="1" numFmtId="0" xfId="0" applyAlignment="1" applyFill="1" applyFont="1">
      <alignment horizontal="left"/>
    </xf>
    <xf borderId="1" fillId="11" fontId="1" numFmtId="0" xfId="0" applyAlignment="1" applyBorder="1" applyFont="1">
      <alignment horizontal="left"/>
    </xf>
    <xf borderId="1" fillId="11" fontId="1" numFmtId="0" xfId="0" applyAlignment="1" applyBorder="1" applyFont="1">
      <alignment horizontal="center"/>
    </xf>
    <xf borderId="1" fillId="11" fontId="1" numFmtId="173" xfId="0" applyAlignment="1" applyBorder="1" applyFont="1" applyNumberFormat="1">
      <alignment horizontal="center"/>
    </xf>
    <xf borderId="2" fillId="11" fontId="1" numFmtId="173" xfId="0" applyAlignment="1" applyBorder="1" applyFont="1" applyNumberFormat="1">
      <alignment horizontal="center"/>
    </xf>
    <xf borderId="0" fillId="11" fontId="1" numFmtId="173" xfId="0" applyAlignment="1" applyFont="1" applyNumberFormat="1">
      <alignment horizontal="center"/>
    </xf>
    <xf borderId="1" fillId="11" fontId="1" numFmtId="10" xfId="0" applyAlignment="1" applyBorder="1" applyFont="1" applyNumberFormat="1">
      <alignment horizontal="center"/>
    </xf>
    <xf borderId="0" fillId="9" fontId="1" numFmtId="0" xfId="0" applyAlignment="1" applyFont="1">
      <alignment horizontal="left"/>
    </xf>
    <xf borderId="1" fillId="9" fontId="1" numFmtId="0" xfId="0" applyAlignment="1" applyBorder="1" applyFont="1">
      <alignment horizontal="left"/>
    </xf>
    <xf borderId="1" fillId="9" fontId="1" numFmtId="0" xfId="0" applyAlignment="1" applyBorder="1" applyFont="1">
      <alignment horizontal="center"/>
    </xf>
    <xf borderId="1" fillId="9" fontId="1" numFmtId="173" xfId="0" applyAlignment="1" applyBorder="1" applyFont="1" applyNumberFormat="1">
      <alignment horizontal="center"/>
    </xf>
    <xf borderId="2" fillId="9" fontId="1" numFmtId="173" xfId="0" applyAlignment="1" applyBorder="1" applyFont="1" applyNumberFormat="1">
      <alignment horizontal="center"/>
    </xf>
    <xf borderId="0" fillId="9" fontId="1" numFmtId="173" xfId="0" applyAlignment="1" applyFont="1" applyNumberFormat="1">
      <alignment horizontal="center"/>
    </xf>
    <xf borderId="0" fillId="0" fontId="1" numFmtId="173" xfId="0" applyAlignment="1" applyFont="1" applyNumberFormat="1">
      <alignment horizontal="center"/>
    </xf>
    <xf borderId="0" fillId="0" fontId="6" numFmtId="10" xfId="0" applyFont="1" applyNumberFormat="1"/>
    <xf borderId="0" fillId="5" fontId="25" numFmtId="0" xfId="0" applyAlignment="1" applyFont="1">
      <alignment horizontal="left"/>
    </xf>
    <xf borderId="1" fillId="5" fontId="25" numFmtId="0" xfId="0" applyAlignment="1" applyBorder="1" applyFont="1">
      <alignment horizontal="left"/>
    </xf>
    <xf borderId="1" fillId="5" fontId="25" numFmtId="0" xfId="0" applyAlignment="1" applyBorder="1" applyFont="1">
      <alignment horizontal="center"/>
    </xf>
    <xf borderId="1" fillId="5" fontId="25" numFmtId="174" xfId="0" applyAlignment="1" applyBorder="1" applyFont="1" applyNumberFormat="1">
      <alignment horizontal="center"/>
    </xf>
    <xf borderId="2" fillId="5" fontId="25" numFmtId="174" xfId="0" applyAlignment="1" applyBorder="1" applyFont="1" applyNumberFormat="1">
      <alignment horizontal="center"/>
    </xf>
    <xf borderId="0" fillId="5" fontId="25" numFmtId="174" xfId="0" applyAlignment="1" applyFont="1" applyNumberFormat="1">
      <alignment horizontal="center"/>
    </xf>
    <xf borderId="0" fillId="0" fontId="8" numFmtId="10" xfId="0" applyFont="1" applyNumberFormat="1"/>
    <xf borderId="0" fillId="0" fontId="25" numFmtId="174" xfId="0" applyAlignment="1" applyFont="1" applyNumberFormat="1">
      <alignment horizontal="center"/>
    </xf>
    <xf borderId="0" fillId="0" fontId="25" numFmtId="175" xfId="0" applyAlignment="1" applyFont="1" applyNumberFormat="1">
      <alignment horizontal="center"/>
    </xf>
    <xf borderId="1" fillId="5" fontId="25" numFmtId="175" xfId="0" applyAlignment="1" applyBorder="1" applyFont="1" applyNumberFormat="1">
      <alignment horizontal="center"/>
    </xf>
    <xf borderId="2" fillId="5" fontId="25" numFmtId="175" xfId="0" applyAlignment="1" applyBorder="1" applyFont="1" applyNumberFormat="1">
      <alignment horizontal="center"/>
    </xf>
    <xf borderId="0" fillId="5" fontId="25" numFmtId="175" xfId="0" applyAlignment="1" applyFont="1" applyNumberFormat="1">
      <alignment horizontal="center"/>
    </xf>
    <xf borderId="0" fillId="0" fontId="44" numFmtId="0" xfId="0" applyAlignment="1" applyFont="1">
      <alignment horizontal="center"/>
    </xf>
    <xf borderId="0" fillId="3" fontId="44" numFmtId="0" xfId="0" applyAlignment="1" applyFont="1">
      <alignment horizontal="center"/>
    </xf>
    <xf borderId="2" fillId="3" fontId="44" numFmtId="0" xfId="0" applyAlignment="1" applyBorder="1" applyFont="1">
      <alignment horizontal="center"/>
    </xf>
    <xf borderId="1" fillId="6" fontId="31" numFmtId="4" xfId="0" applyAlignment="1" applyBorder="1" applyFont="1" applyNumberFormat="1">
      <alignment horizontal="right" readingOrder="0"/>
    </xf>
    <xf borderId="0" fillId="0" fontId="6" numFmtId="0" xfId="0" applyAlignment="1" applyFont="1">
      <alignment horizontal="right"/>
    </xf>
    <xf borderId="0" fillId="0" fontId="6" numFmtId="4" xfId="0" applyAlignment="1" applyFont="1" applyNumberFormat="1">
      <alignment horizontal="right" readingOrder="0"/>
    </xf>
    <xf borderId="0" fillId="6" fontId="6" numFmtId="165" xfId="0" applyAlignment="1" applyFont="1" applyNumberFormat="1">
      <alignment horizontal="left" shrinkToFit="0" wrapText="0"/>
    </xf>
    <xf borderId="0" fillId="0" fontId="6" numFmtId="4" xfId="0" applyFont="1" applyNumberFormat="1"/>
    <xf borderId="0" fillId="6" fontId="45" numFmtId="4" xfId="0" applyAlignment="1" applyFont="1" applyNumberFormat="1">
      <alignment horizontal="right" shrinkToFit="0" wrapText="0"/>
    </xf>
    <xf borderId="0" fillId="0" fontId="45" numFmtId="165" xfId="0" applyAlignment="1" applyFont="1" applyNumberFormat="1">
      <alignment horizontal="right"/>
    </xf>
    <xf borderId="0" fillId="0" fontId="27" numFmtId="165" xfId="0" applyAlignment="1" applyFont="1" applyNumberFormat="1">
      <alignment horizontal="right"/>
    </xf>
    <xf borderId="0" fillId="0" fontId="46" numFmtId="165" xfId="0" applyFont="1" applyNumberFormat="1"/>
    <xf borderId="0" fillId="0" fontId="46" numFmtId="10" xfId="0" applyFont="1" applyNumberFormat="1"/>
    <xf borderId="0" fillId="0" fontId="37" numFmtId="165" xfId="0" applyAlignment="1" applyFont="1" applyNumberFormat="1">
      <alignment horizontal="center"/>
    </xf>
    <xf borderId="0" fillId="0" fontId="37" numFmtId="165" xfId="0" applyAlignment="1" applyFont="1" applyNumberFormat="1">
      <alignment horizontal="right"/>
    </xf>
    <xf borderId="0" fillId="0" fontId="31" numFmtId="165" xfId="0" applyAlignment="1" applyFont="1" applyNumberFormat="1">
      <alignment horizontal="center"/>
    </xf>
    <xf borderId="0" fillId="6" fontId="31" numFmtId="165" xfId="0" applyAlignment="1" applyFont="1" applyNumberFormat="1">
      <alignment horizontal="right" shrinkToFit="0" wrapText="0"/>
    </xf>
    <xf borderId="0" fillId="0" fontId="6" numFmtId="4" xfId="0" applyAlignment="1" applyFont="1" applyNumberFormat="1">
      <alignment horizontal="center"/>
    </xf>
    <xf borderId="0" fillId="6" fontId="37" numFmtId="165" xfId="0" applyAlignment="1" applyFont="1" applyNumberFormat="1">
      <alignment horizontal="left" shrinkToFit="0" wrapText="0"/>
    </xf>
    <xf borderId="0" fillId="6" fontId="37" numFmtId="165" xfId="0" applyAlignment="1" applyFont="1" applyNumberFormat="1">
      <alignment horizontal="right" shrinkToFit="0" wrapText="0"/>
    </xf>
    <xf borderId="0" fillId="0" fontId="31" numFmtId="0" xfId="0" applyAlignment="1" applyFont="1">
      <alignment horizontal="center"/>
    </xf>
    <xf borderId="0" fillId="0" fontId="6" numFmtId="0" xfId="0" applyAlignment="1" applyFont="1">
      <alignment horizontal="right" readingOrder="0"/>
    </xf>
    <xf borderId="0" fillId="0" fontId="1" numFmtId="4" xfId="0" applyAlignment="1" applyFont="1" applyNumberFormat="1">
      <alignment horizontal="right" readingOrder="0"/>
    </xf>
    <xf borderId="0" fillId="7" fontId="6" numFmtId="4" xfId="0" applyAlignment="1" applyFont="1" applyNumberFormat="1">
      <alignment horizontal="right" readingOrder="0"/>
    </xf>
    <xf borderId="0" fillId="11" fontId="1" numFmtId="165" xfId="0" applyAlignment="1" applyFont="1" applyNumberFormat="1">
      <alignment horizontal="left"/>
    </xf>
    <xf borderId="1" fillId="11" fontId="1" numFmtId="165" xfId="0" applyAlignment="1" applyBorder="1" applyFont="1" applyNumberFormat="1">
      <alignment horizontal="left"/>
    </xf>
    <xf borderId="1" fillId="11" fontId="1" numFmtId="165" xfId="0" applyAlignment="1" applyBorder="1" applyFont="1" applyNumberFormat="1">
      <alignment horizontal="center"/>
    </xf>
    <xf borderId="1" fillId="11" fontId="1" numFmtId="165" xfId="0" applyAlignment="1" applyBorder="1" applyFont="1" applyNumberFormat="1">
      <alignment horizontal="right"/>
    </xf>
    <xf borderId="0" fillId="12" fontId="25" numFmtId="165" xfId="0" applyAlignment="1" applyFill="1" applyFont="1" applyNumberFormat="1">
      <alignment horizontal="left"/>
    </xf>
    <xf borderId="1" fillId="12" fontId="25" numFmtId="165" xfId="0" applyAlignment="1" applyBorder="1" applyFont="1" applyNumberFormat="1">
      <alignment horizontal="left"/>
    </xf>
    <xf borderId="1" fillId="12" fontId="25" numFmtId="165" xfId="0" applyAlignment="1" applyBorder="1" applyFont="1" applyNumberFormat="1">
      <alignment horizontal="center"/>
    </xf>
    <xf borderId="0" fillId="13" fontId="25" numFmtId="165" xfId="0" applyAlignment="1" applyFill="1" applyFont="1" applyNumberFormat="1">
      <alignment horizontal="right"/>
    </xf>
    <xf borderId="0" fillId="0" fontId="7" numFmtId="10" xfId="0" applyAlignment="1" applyFont="1" applyNumberFormat="1">
      <alignment horizontal="right"/>
    </xf>
    <xf borderId="0" fillId="0" fontId="1" numFmtId="2" xfId="0" applyAlignment="1" applyFont="1" applyNumberFormat="1">
      <alignment horizontal="right"/>
    </xf>
    <xf borderId="0" fillId="0" fontId="25" numFmtId="176" xfId="0" applyAlignment="1" applyFont="1" applyNumberFormat="1">
      <alignment horizontal="left"/>
    </xf>
    <xf borderId="0" fillId="0" fontId="25" numFmtId="176" xfId="0" applyAlignment="1" applyFont="1" applyNumberFormat="1">
      <alignment horizontal="center"/>
    </xf>
    <xf borderId="0" fillId="0" fontId="25" numFmtId="176" xfId="0" applyAlignment="1" applyFont="1" applyNumberFormat="1">
      <alignment horizontal="right"/>
    </xf>
    <xf borderId="0" fillId="0" fontId="19" numFmtId="176" xfId="0" applyFont="1" applyNumberFormat="1"/>
    <xf borderId="0" fillId="8" fontId="47" numFmtId="0" xfId="0" applyAlignment="1" applyFont="1">
      <alignment horizontal="left"/>
    </xf>
    <xf borderId="1" fillId="8" fontId="47" numFmtId="0" xfId="0" applyAlignment="1" applyBorder="1" applyFont="1">
      <alignment horizontal="left"/>
    </xf>
    <xf borderId="0" fillId="11" fontId="1" numFmtId="0" xfId="0" applyAlignment="1" applyFont="1">
      <alignment horizontal="center"/>
    </xf>
    <xf borderId="0" fillId="6" fontId="6" numFmtId="0" xfId="0" applyAlignment="1" applyFont="1">
      <alignment horizontal="left" shrinkToFit="0" wrapText="0"/>
    </xf>
    <xf borderId="4" fillId="11" fontId="1" numFmtId="0" xfId="0" applyAlignment="1" applyBorder="1" applyFont="1">
      <alignment horizontal="left"/>
    </xf>
    <xf borderId="4" fillId="11" fontId="1" numFmtId="0" xfId="0" applyAlignment="1" applyBorder="1" applyFont="1">
      <alignment horizontal="center"/>
    </xf>
    <xf borderId="4" fillId="11" fontId="1" numFmtId="173" xfId="0" applyAlignment="1" applyBorder="1" applyFont="1" applyNumberFormat="1">
      <alignment horizontal="center"/>
    </xf>
    <xf borderId="0" fillId="11" fontId="1" numFmtId="10" xfId="0" applyAlignment="1" applyFont="1" applyNumberFormat="1">
      <alignment horizontal="center"/>
    </xf>
    <xf borderId="28" fillId="11" fontId="1" numFmtId="0" xfId="0" applyAlignment="1" applyBorder="1" applyFont="1">
      <alignment horizontal="left"/>
    </xf>
    <xf borderId="28" fillId="11" fontId="1" numFmtId="0" xfId="0" applyAlignment="1" applyBorder="1" applyFont="1">
      <alignment horizontal="center"/>
    </xf>
    <xf borderId="28" fillId="11" fontId="1" numFmtId="173" xfId="0" applyAlignment="1" applyBorder="1" applyFont="1" applyNumberFormat="1">
      <alignment horizontal="center"/>
    </xf>
    <xf borderId="29" fillId="11" fontId="1" numFmtId="0" xfId="0" applyAlignment="1" applyBorder="1" applyFont="1">
      <alignment horizontal="left"/>
    </xf>
    <xf borderId="29" fillId="11" fontId="1" numFmtId="0" xfId="0" applyAlignment="1" applyBorder="1" applyFont="1">
      <alignment horizontal="center"/>
    </xf>
    <xf borderId="29" fillId="11" fontId="1" numFmtId="173" xfId="0" applyAlignment="1" applyBorder="1" applyFont="1" applyNumberFormat="1">
      <alignment horizontal="center"/>
    </xf>
    <xf borderId="30" fillId="11" fontId="1" numFmtId="0" xfId="0" applyAlignment="1" applyBorder="1" applyFont="1">
      <alignment horizontal="left"/>
    </xf>
    <xf borderId="30" fillId="11" fontId="1" numFmtId="0" xfId="0" applyAlignment="1" applyBorder="1" applyFont="1">
      <alignment horizontal="center"/>
    </xf>
    <xf borderId="30" fillId="11" fontId="1" numFmtId="173" xfId="0" applyAlignment="1" applyBorder="1" applyFont="1" applyNumberFormat="1">
      <alignment horizontal="center"/>
    </xf>
    <xf borderId="30" fillId="11" fontId="1" numFmtId="9" xfId="0" applyAlignment="1" applyBorder="1" applyFont="1" applyNumberFormat="1">
      <alignment horizontal="center"/>
    </xf>
    <xf borderId="1" fillId="11" fontId="1" numFmtId="9" xfId="0" applyAlignment="1" applyBorder="1" applyFont="1" applyNumberFormat="1">
      <alignment horizontal="center"/>
    </xf>
    <xf borderId="4" fillId="11" fontId="1" numFmtId="9" xfId="0" applyAlignment="1" applyBorder="1" applyFont="1" applyNumberFormat="1">
      <alignment horizontal="center"/>
    </xf>
    <xf borderId="4" fillId="11" fontId="1" numFmtId="4" xfId="0" applyAlignment="1" applyBorder="1" applyFont="1" applyNumberFormat="1">
      <alignment horizontal="center"/>
    </xf>
    <xf borderId="0" fillId="14" fontId="25" numFmtId="0" xfId="0" applyAlignment="1" applyFill="1" applyFont="1">
      <alignment horizontal="center"/>
    </xf>
    <xf borderId="2" fillId="14" fontId="25" numFmtId="0" xfId="0" applyAlignment="1" applyBorder="1" applyFont="1">
      <alignment horizontal="center"/>
    </xf>
    <xf borderId="9" fillId="0" fontId="7" numFmtId="0" xfId="0" applyAlignment="1" applyBorder="1" applyFont="1">
      <alignment vertical="bottom"/>
    </xf>
    <xf borderId="31" fillId="3" fontId="48" numFmtId="0" xfId="0" applyAlignment="1" applyBorder="1" applyFont="1">
      <alignment horizontal="center" vertical="bottom"/>
    </xf>
    <xf borderId="31" fillId="3" fontId="7" numFmtId="0" xfId="0" applyAlignment="1" applyBorder="1" applyFont="1">
      <alignment vertical="bottom"/>
    </xf>
    <xf borderId="32" fillId="3" fontId="48" numFmtId="0" xfId="0" applyAlignment="1" applyBorder="1" applyFont="1">
      <alignment horizontal="center" vertical="bottom"/>
    </xf>
    <xf borderId="32" fillId="15" fontId="19" numFmtId="0" xfId="0" applyAlignment="1" applyBorder="1" applyFill="1" applyFont="1">
      <alignment horizontal="center" readingOrder="0" vertical="bottom"/>
    </xf>
    <xf borderId="33" fillId="12" fontId="19" numFmtId="0" xfId="0" applyAlignment="1" applyBorder="1" applyFont="1">
      <alignment horizontal="center" vertical="bottom"/>
    </xf>
    <xf borderId="33" fillId="0" fontId="10" numFmtId="0" xfId="0" applyBorder="1" applyFont="1"/>
    <xf borderId="9" fillId="0" fontId="7" numFmtId="0" xfId="0" applyAlignment="1" applyBorder="1" applyFont="1">
      <alignment vertical="bottom"/>
    </xf>
    <xf borderId="9" fillId="0" fontId="7" numFmtId="2" xfId="0" applyAlignment="1" applyBorder="1" applyFont="1" applyNumberFormat="1">
      <alignment horizontal="center" vertical="bottom"/>
    </xf>
    <xf borderId="9" fillId="0" fontId="7" numFmtId="2" xfId="0" applyAlignment="1" applyBorder="1" applyFont="1" applyNumberFormat="1">
      <alignment vertical="bottom"/>
    </xf>
    <xf borderId="9" fillId="7" fontId="7" numFmtId="0" xfId="0" applyAlignment="1" applyBorder="1" applyFont="1">
      <alignment vertical="bottom"/>
    </xf>
    <xf borderId="9" fillId="0" fontId="7" numFmtId="165" xfId="0" applyAlignment="1" applyBorder="1" applyFont="1" applyNumberFormat="1">
      <alignment vertical="bottom"/>
    </xf>
    <xf borderId="9" fillId="0" fontId="7" numFmtId="177" xfId="0" applyAlignment="1" applyBorder="1" applyFont="1" applyNumberFormat="1">
      <alignment vertical="bottom"/>
    </xf>
    <xf borderId="0" fillId="6" fontId="7" numFmtId="0" xfId="0" applyAlignment="1" applyFont="1">
      <alignment vertical="bottom"/>
    </xf>
    <xf borderId="9" fillId="0" fontId="7" numFmtId="178" xfId="0" applyAlignment="1" applyBorder="1" applyFont="1" applyNumberFormat="1">
      <alignment horizontal="center" vertical="bottom"/>
    </xf>
    <xf borderId="9" fillId="0" fontId="7" numFmtId="177" xfId="0" applyAlignment="1" applyBorder="1" applyFont="1" applyNumberFormat="1">
      <alignment horizontal="center" vertical="bottom"/>
    </xf>
    <xf borderId="17" fillId="0" fontId="7" numFmtId="0" xfId="0" applyAlignment="1" applyBorder="1" applyFont="1">
      <alignment vertical="bottom"/>
    </xf>
    <xf borderId="17" fillId="0" fontId="7" numFmtId="178" xfId="0" applyAlignment="1" applyBorder="1" applyFont="1" applyNumberFormat="1">
      <alignment vertical="bottom"/>
    </xf>
    <xf borderId="6" fillId="0" fontId="7" numFmtId="0" xfId="0" applyAlignment="1" applyBorder="1" applyFont="1">
      <alignment horizontal="center" vertical="bottom"/>
    </xf>
    <xf borderId="6" fillId="0" fontId="7" numFmtId="0" xfId="0" applyAlignment="1" applyBorder="1" applyFont="1">
      <alignment vertical="bottom"/>
    </xf>
    <xf borderId="0" fillId="11" fontId="19" numFmtId="0" xfId="0" applyAlignment="1" applyFont="1">
      <alignment vertical="bottom"/>
    </xf>
    <xf borderId="0" fillId="11" fontId="7" numFmtId="0" xfId="0" applyAlignment="1" applyFont="1">
      <alignment vertical="bottom"/>
    </xf>
    <xf borderId="9" fillId="16" fontId="19" numFmtId="178" xfId="0" applyAlignment="1" applyBorder="1" applyFill="1" applyFont="1" applyNumberFormat="1">
      <alignment horizontal="center" vertical="bottom"/>
    </xf>
    <xf borderId="0" fillId="0" fontId="7" numFmtId="177" xfId="0" applyAlignment="1" applyFont="1" applyNumberFormat="1">
      <alignment horizontal="center" vertical="bottom"/>
    </xf>
    <xf borderId="34" fillId="0" fontId="7" numFmtId="0" xfId="0" applyAlignment="1" applyBorder="1" applyFont="1">
      <alignment vertical="bottom"/>
    </xf>
    <xf borderId="9" fillId="17" fontId="19" numFmtId="10" xfId="0" applyAlignment="1" applyBorder="1" applyFill="1" applyFont="1" applyNumberFormat="1">
      <alignment horizontal="center" vertical="bottom"/>
    </xf>
    <xf borderId="0" fillId="11" fontId="19" numFmtId="0" xfId="0" applyAlignment="1" applyFont="1">
      <alignment vertical="bottom"/>
    </xf>
    <xf borderId="0" fillId="11" fontId="7" numFmtId="0" xfId="0" applyAlignment="1" applyFont="1">
      <alignment vertical="bottom"/>
    </xf>
    <xf borderId="9" fillId="16" fontId="19" numFmtId="10" xfId="0" applyAlignment="1" applyBorder="1" applyFont="1" applyNumberFormat="1">
      <alignment horizontal="center" vertical="bottom"/>
    </xf>
    <xf borderId="22" fillId="11" fontId="19" numFmtId="0" xfId="0" applyAlignment="1" applyBorder="1" applyFont="1">
      <alignment vertical="bottom"/>
    </xf>
    <xf borderId="22" fillId="11" fontId="7" numFmtId="0" xfId="0" applyAlignment="1" applyBorder="1" applyFont="1">
      <alignment vertical="bottom"/>
    </xf>
    <xf borderId="27" fillId="7" fontId="19" numFmtId="10" xfId="0" applyAlignment="1" applyBorder="1" applyFont="1" applyNumberFormat="1">
      <alignment horizontal="center" vertical="bottom"/>
    </xf>
    <xf borderId="35" fillId="0" fontId="7" numFmtId="0" xfId="0" applyAlignment="1" applyBorder="1" applyFont="1">
      <alignment vertical="bottom"/>
    </xf>
    <xf borderId="35" fillId="0" fontId="7" numFmtId="10" xfId="0" applyAlignment="1" applyBorder="1" applyFont="1" applyNumberFormat="1">
      <alignment vertical="bottom"/>
    </xf>
    <xf borderId="34" fillId="18" fontId="7" numFmtId="10" xfId="0" applyAlignment="1" applyBorder="1" applyFill="1" applyFont="1" applyNumberFormat="1">
      <alignment horizontal="right" vertical="bottom"/>
    </xf>
    <xf borderId="35" fillId="0" fontId="19" numFmtId="0" xfId="0" applyAlignment="1" applyBorder="1" applyFont="1">
      <alignment vertical="bottom"/>
    </xf>
    <xf borderId="36" fillId="18" fontId="7" numFmtId="10" xfId="0" applyAlignment="1" applyBorder="1" applyFont="1" applyNumberFormat="1">
      <alignment horizontal="right" vertical="bottom"/>
    </xf>
    <xf borderId="0" fillId="0" fontId="7" numFmtId="179" xfId="0" applyAlignment="1" applyFont="1" applyNumberFormat="1">
      <alignment vertical="bottom"/>
    </xf>
    <xf borderId="22" fillId="0" fontId="7" numFmtId="0" xfId="0" applyAlignment="1" applyBorder="1" applyFont="1">
      <alignment vertical="bottom"/>
    </xf>
    <xf borderId="22" fillId="0" fontId="19" numFmtId="0" xfId="0" applyAlignment="1" applyBorder="1" applyFont="1">
      <alignment vertical="bottom"/>
    </xf>
    <xf borderId="22" fillId="0" fontId="7" numFmtId="0" xfId="0" applyAlignment="1" applyBorder="1" applyFont="1">
      <alignment vertical="bottom"/>
    </xf>
    <xf borderId="17" fillId="4" fontId="19" numFmtId="177" xfId="0" applyAlignment="1" applyBorder="1" applyFont="1" applyNumberFormat="1">
      <alignment horizontal="right" readingOrder="0" vertical="bottom"/>
    </xf>
    <xf borderId="37" fillId="4" fontId="19" numFmtId="177" xfId="0" applyAlignment="1" applyBorder="1" applyFont="1" applyNumberFormat="1">
      <alignment horizontal="right" readingOrder="0" vertical="bottom"/>
    </xf>
    <xf borderId="0" fillId="0" fontId="7" numFmtId="171" xfId="0" applyAlignment="1" applyFont="1" applyNumberFormat="1">
      <alignment vertical="bottom"/>
    </xf>
    <xf borderId="5" fillId="19" fontId="19" numFmtId="0" xfId="0" applyAlignment="1" applyBorder="1" applyFill="1" applyFont="1">
      <alignment vertical="bottom"/>
    </xf>
    <xf borderId="7" fillId="17" fontId="49" numFmtId="178" xfId="0" applyAlignment="1" applyBorder="1" applyFont="1" applyNumberFormat="1">
      <alignment horizontal="center" readingOrder="0" vertical="bottom"/>
    </xf>
    <xf borderId="8" fillId="19" fontId="19" numFmtId="0" xfId="0" applyAlignment="1" applyBorder="1" applyFont="1">
      <alignment vertical="bottom"/>
    </xf>
    <xf borderId="9" fillId="20" fontId="19" numFmtId="10" xfId="0" applyAlignment="1" applyBorder="1" applyFill="1" applyFont="1" applyNumberFormat="1">
      <alignment horizontal="center" vertical="bottom"/>
    </xf>
    <xf borderId="21" fillId="3" fontId="49" numFmtId="0" xfId="0" applyAlignment="1" applyBorder="1" applyFont="1">
      <alignment vertical="bottom"/>
    </xf>
    <xf borderId="27" fillId="16" fontId="50" numFmtId="0" xfId="0" applyAlignment="1" applyBorder="1" applyFont="1">
      <alignment horizontal="center" readingOrder="0" vertical="bottom"/>
    </xf>
    <xf borderId="0" fillId="0" fontId="7" numFmtId="178" xfId="0" applyAlignment="1" applyFont="1" applyNumberFormat="1">
      <alignment vertical="bottom"/>
    </xf>
    <xf borderId="0" fillId="0" fontId="7" numFmtId="2" xfId="0" applyAlignment="1" applyFont="1" applyNumberFormat="1">
      <alignment vertical="bottom"/>
    </xf>
    <xf borderId="0" fillId="0" fontId="51" numFmtId="0" xfId="0" applyAlignment="1" applyFont="1">
      <alignment vertical="bottom"/>
    </xf>
    <xf borderId="35" fillId="0" fontId="7" numFmtId="0" xfId="0" applyAlignment="1" applyBorder="1" applyFont="1">
      <alignment vertical="bottom"/>
    </xf>
    <xf borderId="38" fillId="0" fontId="7" numFmtId="0" xfId="0" applyAlignment="1" applyBorder="1" applyFont="1">
      <alignment vertical="bottom"/>
    </xf>
    <xf borderId="0" fillId="0" fontId="7" numFmtId="4" xfId="0" applyAlignment="1" applyFont="1" applyNumberFormat="1">
      <alignment vertical="bottom"/>
    </xf>
    <xf borderId="34" fillId="0" fontId="19" numFmtId="165" xfId="0" applyAlignment="1" applyBorder="1" applyFont="1" applyNumberFormat="1">
      <alignment horizontal="center" vertical="bottom"/>
    </xf>
    <xf borderId="0" fillId="0" fontId="7" numFmtId="4" xfId="0" applyAlignment="1" applyFont="1" applyNumberFormat="1">
      <alignment readingOrder="0" vertical="bottom"/>
    </xf>
    <xf borderId="34" fillId="0" fontId="7" numFmtId="10" xfId="0" applyAlignment="1" applyBorder="1" applyFont="1" applyNumberFormat="1">
      <alignment vertical="bottom"/>
    </xf>
    <xf borderId="16" fillId="0" fontId="19" numFmtId="165" xfId="0" applyAlignment="1" applyBorder="1" applyFont="1" applyNumberFormat="1">
      <alignment vertical="bottom"/>
    </xf>
    <xf borderId="17" fillId="0" fontId="7" numFmtId="165" xfId="0" applyAlignment="1" applyBorder="1" applyFont="1" applyNumberFormat="1">
      <alignment vertical="bottom"/>
    </xf>
    <xf borderId="37" fillId="0" fontId="19" numFmtId="165" xfId="0" applyAlignment="1" applyBorder="1" applyFont="1" applyNumberFormat="1">
      <alignment horizontal="center" readingOrder="0" vertical="bottom"/>
    </xf>
    <xf borderId="34" fillId="0" fontId="7" numFmtId="2" xfId="0" applyAlignment="1" applyBorder="1" applyFont="1" applyNumberFormat="1">
      <alignment vertical="bottom"/>
    </xf>
    <xf borderId="0" fillId="0" fontId="19" numFmtId="10" xfId="0" applyAlignment="1" applyFont="1" applyNumberFormat="1">
      <alignment vertical="bottom"/>
    </xf>
    <xf borderId="34" fillId="0" fontId="7" numFmtId="0" xfId="0" applyAlignment="1" applyBorder="1" applyFont="1">
      <alignment vertical="bottom"/>
    </xf>
    <xf borderId="34" fillId="0" fontId="7" numFmtId="4" xfId="0" applyAlignment="1" applyBorder="1" applyFont="1" applyNumberFormat="1">
      <alignment horizontal="center" vertical="bottom"/>
    </xf>
    <xf borderId="9" fillId="0" fontId="15" numFmtId="4" xfId="0" applyAlignment="1" applyBorder="1" applyFont="1" applyNumberFormat="1">
      <alignment horizontal="center" vertical="bottom"/>
    </xf>
    <xf borderId="34" fillId="0" fontId="49" numFmtId="2" xfId="0" applyAlignment="1" applyBorder="1" applyFont="1" applyNumberFormat="1">
      <alignment horizontal="center" vertical="bottom"/>
    </xf>
    <xf borderId="9" fillId="0" fontId="19" numFmtId="2" xfId="0" applyAlignment="1" applyBorder="1" applyFont="1" applyNumberFormat="1">
      <alignment horizontal="center" vertical="bottom"/>
    </xf>
    <xf borderId="34" fillId="0" fontId="49" numFmtId="2" xfId="0" applyAlignment="1" applyBorder="1" applyFont="1" applyNumberFormat="1">
      <alignment horizontal="center" readingOrder="0" vertical="bottom"/>
    </xf>
    <xf borderId="34" fillId="0" fontId="19" numFmtId="2" xfId="0" applyAlignment="1" applyBorder="1" applyFont="1" applyNumberFormat="1">
      <alignment horizontal="center" vertical="bottom"/>
    </xf>
    <xf borderId="0" fillId="0" fontId="52" numFmtId="0" xfId="0" applyAlignment="1" applyFont="1">
      <alignment vertical="bottom"/>
    </xf>
    <xf borderId="34" fillId="0" fontId="7" numFmtId="2" xfId="0" applyAlignment="1" applyBorder="1" applyFont="1" applyNumberFormat="1">
      <alignment horizontal="center" vertical="bottom"/>
    </xf>
    <xf borderId="0" fillId="0" fontId="52" numFmtId="10" xfId="0" applyAlignment="1" applyFont="1" applyNumberFormat="1">
      <alignment vertical="bottom"/>
    </xf>
    <xf borderId="34" fillId="0" fontId="7" numFmtId="0" xfId="0" applyAlignment="1" applyBorder="1" applyFont="1">
      <alignment horizontal="center" vertical="bottom"/>
    </xf>
    <xf borderId="0" fillId="0" fontId="53" numFmtId="0" xfId="0" applyAlignment="1" applyFont="1">
      <alignment vertical="bottom"/>
    </xf>
    <xf borderId="34" fillId="0" fontId="53" numFmtId="10" xfId="0" applyAlignment="1" applyBorder="1" applyFont="1" applyNumberFormat="1">
      <alignment horizontal="center" vertical="bottom"/>
    </xf>
    <xf borderId="0" fillId="0" fontId="53" numFmtId="10" xfId="0" applyAlignment="1" applyFont="1" applyNumberFormat="1">
      <alignment vertical="bottom"/>
    </xf>
    <xf borderId="0" fillId="0" fontId="48" numFmtId="0" xfId="0" applyAlignment="1" applyFont="1">
      <alignment vertical="bottom"/>
    </xf>
    <xf borderId="34" fillId="0" fontId="54" numFmtId="2" xfId="0" applyAlignment="1" applyBorder="1" applyFont="1" applyNumberFormat="1">
      <alignment horizontal="center" vertical="bottom"/>
    </xf>
    <xf borderId="0" fillId="0" fontId="48" numFmtId="10" xfId="0" applyAlignment="1" applyFont="1" applyNumberFormat="1">
      <alignment vertical="bottom"/>
    </xf>
    <xf borderId="0" fillId="0" fontId="7" numFmtId="177" xfId="0" applyAlignment="1" applyFont="1" applyNumberFormat="1">
      <alignment vertical="bottom"/>
    </xf>
    <xf borderId="22" fillId="0" fontId="19" numFmtId="0" xfId="0" applyAlignment="1" applyBorder="1" applyFont="1">
      <alignment vertical="bottom"/>
    </xf>
    <xf borderId="22" fillId="0" fontId="10" numFmtId="0" xfId="0" applyBorder="1" applyFont="1"/>
    <xf borderId="39" fillId="0" fontId="54" numFmtId="2" xfId="0" applyAlignment="1" applyBorder="1" applyFont="1" applyNumberFormat="1">
      <alignment horizontal="center" vertical="bottom"/>
    </xf>
    <xf borderId="22" fillId="0" fontId="19" numFmtId="10" xfId="0" applyAlignment="1" applyBorder="1" applyFont="1" applyNumberFormat="1">
      <alignment vertical="bottom"/>
    </xf>
    <xf borderId="0" fillId="0" fontId="7" numFmtId="0" xfId="0" applyAlignment="1" applyFont="1">
      <alignment readingOrder="0" vertical="bottom"/>
    </xf>
    <xf borderId="0" fillId="0" fontId="7" numFmtId="177" xfId="0" applyAlignment="1" applyFont="1" applyNumberFormat="1">
      <alignment readingOrder="0" vertical="bottom"/>
    </xf>
    <xf borderId="0" fillId="12" fontId="49" numFmtId="0" xfId="0" applyAlignment="1" applyFont="1">
      <alignment vertical="bottom"/>
    </xf>
    <xf borderId="0" fillId="12" fontId="7" numFmtId="10" xfId="0" applyAlignment="1" applyFont="1" applyNumberFormat="1">
      <alignment vertical="bottom"/>
    </xf>
    <xf borderId="0" fillId="12" fontId="19" numFmtId="178" xfId="0" applyAlignment="1" applyFont="1" applyNumberFormat="1">
      <alignment horizontal="center" vertical="bottom"/>
    </xf>
    <xf borderId="0" fillId="0" fontId="7" numFmtId="177" xfId="0" applyAlignment="1" applyFont="1" applyNumberFormat="1">
      <alignment vertical="bottom"/>
    </xf>
    <xf borderId="0" fillId="12" fontId="49" numFmtId="10" xfId="0" applyAlignment="1" applyFont="1" applyNumberFormat="1">
      <alignment vertical="bottom"/>
    </xf>
    <xf borderId="0" fillId="12" fontId="7" numFmtId="0" xfId="0" applyAlignment="1" applyFont="1">
      <alignment vertical="bottom"/>
    </xf>
    <xf borderId="0" fillId="0" fontId="7" numFmtId="10" xfId="0" applyAlignment="1" applyFont="1" applyNumberFormat="1">
      <alignment horizontal="center" vertical="bottom"/>
    </xf>
    <xf borderId="0" fillId="21" fontId="19" numFmtId="0" xfId="0" applyAlignment="1" applyFill="1" applyFont="1">
      <alignment vertical="bottom"/>
    </xf>
    <xf borderId="0" fillId="21" fontId="7" numFmtId="0" xfId="0" applyAlignment="1" applyFont="1">
      <alignment vertical="bottom"/>
    </xf>
    <xf borderId="0" fillId="21" fontId="7" numFmtId="10" xfId="0" applyAlignment="1" applyFont="1" applyNumberFormat="1">
      <alignment vertical="bottom"/>
    </xf>
    <xf borderId="0" fillId="7" fontId="19" numFmtId="10" xfId="0" applyAlignment="1" applyFont="1" applyNumberFormat="1">
      <alignment horizontal="center" vertical="bottom"/>
    </xf>
    <xf borderId="0" fillId="21" fontId="19" numFmtId="10" xfId="0" applyAlignment="1" applyFont="1" applyNumberFormat="1">
      <alignment vertical="bottom"/>
    </xf>
    <xf borderId="0" fillId="21" fontId="7" numFmtId="0" xfId="0" applyAlignment="1" applyFont="1">
      <alignment vertical="bottom"/>
    </xf>
    <xf borderId="0" fillId="21" fontId="19" numFmtId="0" xfId="0" applyAlignment="1" applyFont="1">
      <alignment vertical="bottom"/>
    </xf>
    <xf borderId="0" fillId="0" fontId="19" numFmtId="10" xfId="0" applyAlignment="1" applyFont="1" applyNumberFormat="1">
      <alignment horizontal="center" vertical="bottom"/>
    </xf>
    <xf borderId="0" fillId="11" fontId="7" numFmtId="10" xfId="0" applyAlignment="1" applyFont="1" applyNumberFormat="1">
      <alignment vertical="bottom"/>
    </xf>
    <xf borderId="0" fillId="18" fontId="19" numFmtId="10" xfId="0" applyAlignment="1" applyFont="1" applyNumberFormat="1">
      <alignment horizontal="center" vertical="bottom"/>
    </xf>
    <xf borderId="0" fillId="11" fontId="19" numFmtId="10" xfId="0" applyAlignment="1" applyFont="1" applyNumberFormat="1">
      <alignment vertical="bottom"/>
    </xf>
    <xf borderId="0" fillId="0" fontId="7" numFmtId="168" xfId="0" applyAlignment="1" applyFont="1" applyNumberFormat="1">
      <alignment vertical="bottom"/>
    </xf>
    <xf borderId="0" fillId="2" fontId="19" numFmtId="0" xfId="0" applyAlignment="1" applyFont="1">
      <alignment vertical="bottom"/>
    </xf>
    <xf borderId="0" fillId="2" fontId="7" numFmtId="0" xfId="0" applyAlignment="1" applyFont="1">
      <alignment vertical="bottom"/>
    </xf>
    <xf borderId="0" fillId="2" fontId="7" numFmtId="178" xfId="0" applyAlignment="1" applyFont="1" applyNumberFormat="1">
      <alignment vertical="bottom"/>
    </xf>
    <xf borderId="0" fillId="22" fontId="19" numFmtId="10" xfId="0" applyAlignment="1" applyFill="1" applyFont="1" applyNumberFormat="1">
      <alignment horizontal="center" vertical="bottom"/>
    </xf>
    <xf borderId="0" fillId="2" fontId="19" numFmtId="10" xfId="0" applyAlignment="1" applyFont="1" applyNumberFormat="1">
      <alignment vertical="bottom"/>
    </xf>
    <xf borderId="0" fillId="2" fontId="7" numFmtId="0" xfId="0" applyAlignment="1" applyFont="1">
      <alignment vertical="bottom"/>
    </xf>
    <xf borderId="0" fillId="2" fontId="19" numFmtId="0" xfId="0" applyAlignment="1" applyFont="1">
      <alignment vertical="bottom"/>
    </xf>
    <xf borderId="40" fillId="0" fontId="7" numFmtId="0" xfId="0" applyAlignment="1" applyBorder="1" applyFont="1">
      <alignment vertical="bottom"/>
    </xf>
    <xf borderId="41" fillId="0" fontId="7" numFmtId="0" xfId="0" applyAlignment="1" applyBorder="1" applyFont="1">
      <alignment vertical="bottom"/>
    </xf>
    <xf borderId="41" fillId="0" fontId="7" numFmtId="10" xfId="0" applyAlignment="1" applyBorder="1" applyFont="1" applyNumberFormat="1">
      <alignment vertical="bottom"/>
    </xf>
    <xf borderId="41" fillId="0" fontId="7" numFmtId="168" xfId="0" applyAlignment="1" applyBorder="1" applyFont="1" applyNumberFormat="1">
      <alignment vertical="bottom"/>
    </xf>
    <xf borderId="42" fillId="0" fontId="7" numFmtId="10" xfId="0" applyAlignment="1" applyBorder="1" applyFont="1" applyNumberFormat="1">
      <alignment vertical="bottom"/>
    </xf>
    <xf borderId="40" fillId="0" fontId="7" numFmtId="10" xfId="0" applyAlignment="1" applyBorder="1" applyFont="1" applyNumberFormat="1">
      <alignment vertical="bottom"/>
    </xf>
    <xf borderId="41" fillId="0" fontId="7" numFmtId="0" xfId="0" applyAlignment="1" applyBorder="1" applyFont="1">
      <alignment vertical="bottom"/>
    </xf>
    <xf borderId="42" fillId="0" fontId="7" numFmtId="0" xfId="0" applyAlignment="1" applyBorder="1" applyFont="1">
      <alignment vertical="bottom"/>
    </xf>
    <xf borderId="40" fillId="0" fontId="7" numFmtId="0" xfId="0" applyAlignment="1" applyBorder="1" applyFont="1">
      <alignment vertical="bottom"/>
    </xf>
    <xf borderId="25" fillId="0" fontId="7" numFmtId="0" xfId="0" applyAlignment="1" applyBorder="1" applyFont="1">
      <alignment vertical="bottom"/>
    </xf>
    <xf borderId="0" fillId="13" fontId="19" numFmtId="0" xfId="0" applyAlignment="1" applyFont="1">
      <alignment vertical="bottom"/>
    </xf>
    <xf borderId="0" fillId="13" fontId="19" numFmtId="178" xfId="0" applyAlignment="1" applyFont="1" applyNumberFormat="1">
      <alignment horizontal="center" vertical="bottom"/>
    </xf>
    <xf borderId="26" fillId="0" fontId="7" numFmtId="177" xfId="0" applyAlignment="1" applyBorder="1" applyFont="1" applyNumberFormat="1">
      <alignment vertical="bottom"/>
    </xf>
    <xf borderId="25" fillId="0" fontId="7" numFmtId="10" xfId="0" applyAlignment="1" applyBorder="1" applyFont="1" applyNumberFormat="1">
      <alignment vertical="bottom"/>
    </xf>
    <xf borderId="0" fillId="13" fontId="19" numFmtId="10" xfId="0" applyAlignment="1" applyFont="1" applyNumberFormat="1">
      <alignment vertical="bottom"/>
    </xf>
    <xf borderId="25" fillId="0" fontId="7" numFmtId="0" xfId="0" applyAlignment="1" applyBorder="1" applyFont="1">
      <alignment vertical="bottom"/>
    </xf>
    <xf borderId="0" fillId="13" fontId="19" numFmtId="0" xfId="0" applyAlignment="1" applyFont="1">
      <alignment vertical="bottom"/>
    </xf>
    <xf borderId="43" fillId="12" fontId="19" numFmtId="178" xfId="0" applyAlignment="1" applyBorder="1" applyFont="1" applyNumberFormat="1">
      <alignment horizontal="center" vertical="bottom"/>
    </xf>
    <xf borderId="26" fillId="0" fontId="7" numFmtId="10" xfId="0" applyAlignment="1" applyBorder="1" applyFont="1" applyNumberFormat="1">
      <alignment vertical="bottom"/>
    </xf>
    <xf borderId="26" fillId="0" fontId="7" numFmtId="0" xfId="0" applyAlignment="1" applyBorder="1" applyFont="1">
      <alignment vertical="bottom"/>
    </xf>
    <xf borderId="0" fillId="2" fontId="7" numFmtId="10" xfId="0" applyAlignment="1" applyFont="1" applyNumberFormat="1">
      <alignment vertical="bottom"/>
    </xf>
    <xf borderId="0" fillId="7" fontId="48" numFmtId="10" xfId="0" applyAlignment="1" applyFont="1" applyNumberFormat="1">
      <alignment horizontal="center" vertical="bottom"/>
    </xf>
    <xf borderId="0" fillId="0" fontId="19" numFmtId="0" xfId="0" applyAlignment="1" applyFont="1">
      <alignment vertical="bottom"/>
    </xf>
    <xf borderId="0" fillId="23" fontId="19" numFmtId="0" xfId="0" applyAlignment="1" applyFill="1" applyFont="1">
      <alignment vertical="bottom"/>
    </xf>
    <xf borderId="0" fillId="23" fontId="7" numFmtId="0" xfId="0" applyAlignment="1" applyFont="1">
      <alignment vertical="bottom"/>
    </xf>
    <xf borderId="0" fillId="23" fontId="19" numFmtId="10" xfId="0" applyAlignment="1" applyFont="1" applyNumberFormat="1">
      <alignment horizontal="center" vertical="bottom"/>
    </xf>
    <xf borderId="0" fillId="0" fontId="48" numFmtId="10" xfId="0" applyAlignment="1" applyFont="1" applyNumberFormat="1">
      <alignment horizontal="center" vertical="bottom"/>
    </xf>
    <xf borderId="26" fillId="0" fontId="7" numFmtId="178" xfId="0" applyAlignment="1" applyBorder="1" applyFont="1" applyNumberFormat="1">
      <alignment vertical="bottom"/>
    </xf>
    <xf borderId="0" fillId="18" fontId="19" numFmtId="0" xfId="0" applyAlignment="1" applyFont="1">
      <alignment vertical="bottom"/>
    </xf>
    <xf borderId="0" fillId="18" fontId="7" numFmtId="0" xfId="0" applyAlignment="1" applyFont="1">
      <alignment vertical="bottom"/>
    </xf>
    <xf borderId="5" fillId="13" fontId="19" numFmtId="0" xfId="0" applyAlignment="1" applyBorder="1" applyFont="1">
      <alignment vertical="bottom"/>
    </xf>
    <xf borderId="44" fillId="13" fontId="19" numFmtId="178" xfId="0" applyAlignment="1" applyBorder="1" applyFont="1" applyNumberFormat="1">
      <alignment horizontal="center" vertical="bottom"/>
    </xf>
    <xf borderId="5" fillId="13" fontId="19" numFmtId="10" xfId="0" applyAlignment="1" applyBorder="1" applyFont="1" applyNumberFormat="1">
      <alignment vertical="bottom"/>
    </xf>
    <xf borderId="8" fillId="0" fontId="7" numFmtId="0" xfId="0" applyAlignment="1" applyBorder="1" applyFont="1">
      <alignment vertical="bottom"/>
    </xf>
    <xf borderId="45" fillId="0" fontId="19" numFmtId="10" xfId="0" applyAlignment="1" applyBorder="1" applyFont="1" applyNumberFormat="1">
      <alignment horizontal="center" vertical="bottom"/>
    </xf>
    <xf borderId="8" fillId="0" fontId="7" numFmtId="10" xfId="0" applyAlignment="1" applyBorder="1" applyFont="1" applyNumberFormat="1">
      <alignment vertical="bottom"/>
    </xf>
    <xf borderId="8" fillId="21" fontId="19" numFmtId="0" xfId="0" applyAlignment="1" applyBorder="1" applyFont="1">
      <alignment vertical="bottom"/>
    </xf>
    <xf borderId="45" fillId="7" fontId="48" numFmtId="10" xfId="0" applyAlignment="1" applyBorder="1" applyFont="1" applyNumberFormat="1">
      <alignment horizontal="center" vertical="bottom"/>
    </xf>
    <xf borderId="8" fillId="21" fontId="19" numFmtId="10" xfId="0" applyAlignment="1" applyBorder="1" applyFont="1" applyNumberFormat="1">
      <alignment vertical="bottom"/>
    </xf>
    <xf borderId="8" fillId="0" fontId="7" numFmtId="0" xfId="0" applyAlignment="1" applyBorder="1" applyFont="1">
      <alignment vertical="bottom"/>
    </xf>
    <xf borderId="8" fillId="11" fontId="19" numFmtId="0" xfId="0" applyAlignment="1" applyBorder="1" applyFont="1">
      <alignment vertical="bottom"/>
    </xf>
    <xf borderId="45" fillId="7" fontId="19" numFmtId="10" xfId="0" applyAlignment="1" applyBorder="1" applyFont="1" applyNumberFormat="1">
      <alignment horizontal="center" vertical="bottom"/>
    </xf>
    <xf borderId="26" fillId="0" fontId="7" numFmtId="0" xfId="0" applyAlignment="1" applyBorder="1" applyFont="1">
      <alignment vertical="bottom"/>
    </xf>
    <xf borderId="0" fillId="24" fontId="19" numFmtId="0" xfId="0" applyAlignment="1" applyFill="1" applyFont="1">
      <alignment vertical="bottom"/>
    </xf>
    <xf borderId="0" fillId="24" fontId="7" numFmtId="0" xfId="0" applyAlignment="1" applyFont="1">
      <alignment vertical="bottom"/>
    </xf>
    <xf borderId="0" fillId="24" fontId="19" numFmtId="10" xfId="0" applyAlignment="1" applyFont="1" applyNumberFormat="1">
      <alignment horizontal="center" vertical="bottom"/>
    </xf>
    <xf borderId="45" fillId="0" fontId="48" numFmtId="10" xfId="0" applyAlignment="1" applyBorder="1" applyFont="1" applyNumberFormat="1">
      <alignment horizontal="center" vertical="bottom"/>
    </xf>
    <xf borderId="8" fillId="2" fontId="19" numFmtId="0" xfId="0" applyAlignment="1" applyBorder="1" applyFont="1">
      <alignment vertical="bottom"/>
    </xf>
    <xf borderId="0" fillId="2" fontId="7" numFmtId="165" xfId="0" applyAlignment="1" applyFont="1" applyNumberFormat="1">
      <alignment vertical="bottom"/>
    </xf>
    <xf borderId="26" fillId="0" fontId="7" numFmtId="165" xfId="0" applyAlignment="1" applyBorder="1" applyFont="1" applyNumberFormat="1">
      <alignment vertical="bottom"/>
    </xf>
    <xf borderId="8" fillId="2" fontId="19" numFmtId="0" xfId="0" applyAlignment="1" applyBorder="1" applyFont="1">
      <alignment vertical="bottom"/>
    </xf>
    <xf borderId="21" fillId="11" fontId="19" numFmtId="0" xfId="0" applyAlignment="1" applyBorder="1" applyFont="1">
      <alignment vertical="bottom"/>
    </xf>
    <xf borderId="22" fillId="11" fontId="7" numFmtId="165" xfId="0" applyAlignment="1" applyBorder="1" applyFont="1" applyNumberFormat="1">
      <alignment vertical="bottom"/>
    </xf>
    <xf borderId="46" fillId="18" fontId="19" numFmtId="10" xfId="0" applyAlignment="1" applyBorder="1" applyFont="1" applyNumberFormat="1">
      <alignment horizontal="center" vertical="bottom"/>
    </xf>
    <xf borderId="21" fillId="11" fontId="19" numFmtId="0" xfId="0" applyAlignment="1" applyBorder="1" applyFont="1">
      <alignment vertical="bottom"/>
    </xf>
    <xf borderId="22" fillId="11" fontId="7" numFmtId="10" xfId="0" applyAlignment="1" applyBorder="1" applyFont="1" applyNumberFormat="1">
      <alignment vertical="bottom"/>
    </xf>
    <xf borderId="47" fillId="0" fontId="7" numFmtId="0" xfId="0" applyAlignment="1" applyBorder="1" applyFont="1">
      <alignment vertical="bottom"/>
    </xf>
    <xf borderId="48" fillId="0" fontId="7" numFmtId="0" xfId="0" applyAlignment="1" applyBorder="1" applyFont="1">
      <alignment vertical="bottom"/>
    </xf>
    <xf borderId="48" fillId="0" fontId="7" numFmtId="10" xfId="0" applyAlignment="1" applyBorder="1" applyFont="1" applyNumberFormat="1">
      <alignment vertical="bottom"/>
    </xf>
    <xf borderId="49" fillId="0" fontId="7" numFmtId="10" xfId="0" applyAlignment="1" applyBorder="1" applyFont="1" applyNumberFormat="1">
      <alignment vertical="bottom"/>
    </xf>
    <xf borderId="48" fillId="0" fontId="7" numFmtId="0" xfId="0" applyAlignment="1" applyBorder="1" applyFont="1">
      <alignment vertical="bottom"/>
    </xf>
    <xf borderId="49" fillId="0" fontId="7" numFmtId="0" xfId="0" applyAlignment="1" applyBorder="1" applyFont="1">
      <alignment vertical="bottom"/>
    </xf>
    <xf borderId="47" fillId="0" fontId="7" numFmtId="0" xfId="0" applyAlignment="1" applyBorder="1" applyFont="1">
      <alignment vertical="bottom"/>
    </xf>
    <xf borderId="0" fillId="0" fontId="19" numFmtId="0" xfId="0" applyAlignment="1" applyFont="1">
      <alignment horizontal="right" vertical="bottom"/>
    </xf>
    <xf borderId="0" fillId="0" fontId="19" numFmtId="0" xfId="0" applyAlignment="1" applyFont="1">
      <alignment horizontal="right" vertical="bottom"/>
    </xf>
    <xf borderId="0" fillId="0" fontId="55" numFmtId="0" xfId="0" applyAlignment="1" applyFont="1">
      <alignment horizontal="center" vertical="bottom"/>
    </xf>
    <xf borderId="0" fillId="0" fontId="55" numFmtId="10" xfId="0" applyAlignment="1" applyFont="1" applyNumberFormat="1">
      <alignment horizontal="right" vertical="bottom"/>
    </xf>
    <xf borderId="0" fillId="0" fontId="55" numFmtId="10" xfId="0" applyAlignment="1" applyFont="1" applyNumberFormat="1">
      <alignment horizontal="center" vertical="bottom"/>
    </xf>
    <xf borderId="0" fillId="0" fontId="55" numFmtId="0" xfId="0" applyAlignment="1" applyFont="1">
      <alignment horizontal="center" readingOrder="0" vertical="bottom"/>
    </xf>
    <xf borderId="0" fillId="0" fontId="55" numFmtId="4" xfId="0" applyAlignment="1" applyFont="1" applyNumberFormat="1">
      <alignment horizontal="right" vertical="bottom"/>
    </xf>
    <xf borderId="0" fillId="0" fontId="7" numFmtId="178" xfId="0" applyAlignment="1" applyFont="1" applyNumberFormat="1">
      <alignment vertical="bottom"/>
    </xf>
    <xf borderId="0" fillId="0" fontId="56" numFmtId="178" xfId="0" applyAlignment="1" applyFont="1" applyNumberFormat="1">
      <alignment horizontal="center" vertical="bottom"/>
    </xf>
    <xf borderId="0" fillId="0" fontId="57" numFmtId="178" xfId="0" applyAlignment="1" applyFont="1" applyNumberFormat="1">
      <alignment horizontal="right" vertical="bottom"/>
    </xf>
    <xf borderId="0" fillId="0" fontId="58" numFmtId="178" xfId="0" applyAlignment="1" applyFont="1" applyNumberFormat="1">
      <alignment horizontal="right" vertical="bottom"/>
    </xf>
    <xf borderId="0" fillId="0" fontId="56" numFmtId="0" xfId="0" applyAlignment="1" applyFont="1">
      <alignment horizontal="center" vertical="bottom"/>
    </xf>
    <xf borderId="0" fillId="0" fontId="58" numFmtId="10" xfId="0" applyAlignment="1" applyFont="1" applyNumberFormat="1">
      <alignment horizontal="right" vertical="bottom"/>
    </xf>
    <xf borderId="0" fillId="0" fontId="56" numFmtId="10" xfId="0" applyAlignment="1" applyFont="1" applyNumberFormat="1">
      <alignment horizontal="center" vertical="bottom"/>
    </xf>
    <xf borderId="0" fillId="0" fontId="56" numFmtId="0" xfId="0" applyAlignment="1" applyFont="1">
      <alignment horizontal="center" vertical="bottom"/>
    </xf>
    <xf borderId="0" fillId="7" fontId="52" numFmtId="0" xfId="0" applyAlignment="1" applyFont="1">
      <alignment horizontal="center"/>
    </xf>
    <xf borderId="0" fillId="7" fontId="7" numFmtId="10" xfId="0" applyAlignment="1" applyFont="1" applyNumberFormat="1">
      <alignment horizontal="center"/>
    </xf>
    <xf borderId="0" fillId="7" fontId="7" numFmtId="0" xfId="0" applyAlignment="1" applyFont="1">
      <alignment horizontal="center"/>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12</xdr:col>
      <xdr:colOff>914400</xdr:colOff>
      <xdr:row>240</xdr:row>
      <xdr:rowOff>19050</xdr:rowOff>
    </xdr:from>
    <xdr:ext cx="7648575" cy="3390900"/>
    <xdr:sp>
      <xdr:nvSpPr>
        <xdr:cNvPr id="3" name="Shape 3"/>
        <xdr:cNvSpPr txBox="1"/>
      </xdr:nvSpPr>
      <xdr:spPr>
        <a:xfrm>
          <a:off x="1483613" y="2089313"/>
          <a:ext cx="7724775" cy="3381375"/>
        </a:xfrm>
        <a:prstGeom prst="rect">
          <a:avLst/>
        </a:prstGeom>
        <a:solidFill>
          <a:srgbClr val="BF9000"/>
        </a:solidFill>
        <a:ln>
          <a:noFill/>
        </a:ln>
      </xdr:spPr>
      <xdr:txBody>
        <a:bodyPr anchorCtr="0" anchor="t" bIns="91425" lIns="91425" spcFirstLastPara="1" rIns="91425" wrap="square" tIns="91425">
          <a:noAutofit/>
        </a:bodyPr>
        <a:lstStyle/>
        <a:p>
          <a:pPr indent="0" lvl="0" marL="0" rtl="0" algn="l">
            <a:spcBef>
              <a:spcPts val="0"/>
            </a:spcBef>
            <a:spcAft>
              <a:spcPts val="0"/>
            </a:spcAft>
            <a:buClr>
              <a:schemeClr val="lt1"/>
            </a:buClr>
            <a:buSzPts val="1100"/>
            <a:buFont typeface="Arial"/>
            <a:buNone/>
          </a:pPr>
          <a:r>
            <a:rPr lang="en-US" sz="1100">
              <a:solidFill>
                <a:schemeClr val="lt1"/>
              </a:solidFill>
            </a:rPr>
            <a:t>Nuestra fórmula de </a:t>
          </a:r>
          <a:r>
            <a:rPr b="1" lang="en-US" sz="1100">
              <a:solidFill>
                <a:schemeClr val="lt1"/>
              </a:solidFill>
            </a:rPr>
            <a:t>valoración intrínseca (Valoración ABYA)</a:t>
          </a:r>
          <a:r>
            <a:rPr lang="en-US" sz="1100">
              <a:solidFill>
                <a:schemeClr val="lt1"/>
              </a:solidFill>
            </a:rPr>
            <a:t> será; </a:t>
          </a:r>
          <a:r>
            <a:rPr b="1" lang="en-US" sz="1100" u="sng">
              <a:solidFill>
                <a:schemeClr val="lt1"/>
              </a:solidFill>
            </a:rPr>
            <a:t>Valor intrínseco/acción =(Valor En libros/acción) x Múltiplo ABYA</a:t>
          </a:r>
          <a:endParaRPr sz="1100"/>
        </a:p>
        <a:p>
          <a:pPr indent="0" lvl="0" marL="0" rtl="0" algn="l">
            <a:spcBef>
              <a:spcPts val="0"/>
            </a:spcBef>
            <a:spcAft>
              <a:spcPts val="0"/>
            </a:spcAft>
            <a:buClr>
              <a:schemeClr val="lt1"/>
            </a:buClr>
            <a:buSzPts val="1100"/>
            <a:buFont typeface="Arial"/>
            <a:buNone/>
          </a:pPr>
          <a:br>
            <a:rPr lang="en-US" sz="1100">
              <a:solidFill>
                <a:schemeClr val="lt1"/>
              </a:solidFill>
            </a:rPr>
          </a:br>
          <a:r>
            <a:rPr lang="en-US" sz="1100">
              <a:solidFill>
                <a:schemeClr val="lt1"/>
              </a:solidFill>
            </a:rPr>
            <a:t>Donde:</a:t>
          </a:r>
          <a:endParaRPr sz="1100"/>
        </a:p>
        <a:p>
          <a:pPr indent="-298450" lvl="0" marL="457200" rtl="0" algn="l">
            <a:spcBef>
              <a:spcPts val="0"/>
            </a:spcBef>
            <a:spcAft>
              <a:spcPts val="0"/>
            </a:spcAft>
            <a:buClr>
              <a:schemeClr val="lt1"/>
            </a:buClr>
            <a:buSzPts val="1100"/>
            <a:buFont typeface="Arial"/>
            <a:buChar char="-"/>
          </a:pPr>
          <a:r>
            <a:rPr lang="en-US" sz="1100">
              <a:solidFill>
                <a:schemeClr val="lt1"/>
              </a:solidFill>
            </a:rPr>
            <a:t>Valor en libros/acción = Equity/ acciones diluidas en circulación. </a:t>
          </a:r>
          <a:endParaRPr sz="1100">
            <a:solidFill>
              <a:schemeClr val="lt1"/>
            </a:solidFill>
          </a:endParaRPr>
        </a:p>
        <a:p>
          <a:pPr indent="-298450" lvl="0" marL="457200" rtl="0" algn="l">
            <a:spcBef>
              <a:spcPts val="0"/>
            </a:spcBef>
            <a:spcAft>
              <a:spcPts val="0"/>
            </a:spcAft>
            <a:buClr>
              <a:schemeClr val="lt1"/>
            </a:buClr>
            <a:buSzPts val="1100"/>
            <a:buFont typeface="Arial"/>
            <a:buChar char="-"/>
          </a:pPr>
          <a:r>
            <a:rPr b="1" lang="en-US" sz="1100">
              <a:solidFill>
                <a:schemeClr val="lt1"/>
              </a:solidFill>
            </a:rPr>
            <a:t>Múltiplo ABYA de seguridad = [(ROE- k)/(CE - k)], </a:t>
          </a:r>
          <a:r>
            <a:rPr lang="en-US" sz="1100">
              <a:solidFill>
                <a:schemeClr val="lt1"/>
              </a:solidFill>
            </a:rPr>
            <a:t>siendo el ROE seleccionado el generado por la compañía en el último año de estimaciones y siendo “k” la tasa de crecimiento perenne del grupo.</a:t>
          </a:r>
          <a:endParaRPr sz="1100">
            <a:solidFill>
              <a:schemeClr val="lt1"/>
            </a:solidFill>
          </a:endParaRPr>
        </a:p>
        <a:p>
          <a:pPr indent="0" lvl="0" marL="457200" rtl="0" algn="l">
            <a:spcBef>
              <a:spcPts val="0"/>
            </a:spcBef>
            <a:spcAft>
              <a:spcPts val="0"/>
            </a:spcAft>
            <a:buSzPts val="1100"/>
            <a:buFont typeface="Arial"/>
            <a:buNone/>
          </a:pPr>
          <a:r>
            <a:t/>
          </a:r>
          <a:endParaRPr sz="1100">
            <a:solidFill>
              <a:schemeClr val="lt1"/>
            </a:solidFill>
          </a:endParaRPr>
        </a:p>
        <a:p>
          <a:pPr indent="0" lvl="0" marL="0" rtl="0" algn="l">
            <a:spcBef>
              <a:spcPts val="0"/>
            </a:spcBef>
            <a:spcAft>
              <a:spcPts val="0"/>
            </a:spcAft>
            <a:buClr>
              <a:schemeClr val="lt1"/>
            </a:buClr>
            <a:buSzPts val="1100"/>
            <a:buFont typeface="Arial"/>
            <a:buNone/>
          </a:pPr>
          <a:r>
            <a:rPr b="1" lang="en-US" sz="1100">
              <a:solidFill>
                <a:schemeClr val="lt1"/>
              </a:solidFill>
            </a:rPr>
            <a:t>Esta metodología pretende premiar la capacidad de creación de valor de la empresa en términos de retornos sobre el  patrimonio neto, que es en lo que participamos como accionistas. </a:t>
          </a:r>
          <a:endParaRPr b="1" sz="1100">
            <a:solidFill>
              <a:schemeClr val="lt1"/>
            </a:solidFill>
          </a:endParaRPr>
        </a:p>
        <a:p>
          <a:pPr indent="0" lvl="0" marL="0" rtl="0" algn="l">
            <a:spcBef>
              <a:spcPts val="0"/>
            </a:spcBef>
            <a:spcAft>
              <a:spcPts val="0"/>
            </a:spcAft>
            <a:buSzPts val="1100"/>
            <a:buFont typeface="Arial"/>
            <a:buNone/>
          </a:pPr>
          <a:r>
            <a:t/>
          </a:r>
          <a:endParaRPr b="1" sz="1100">
            <a:solidFill>
              <a:schemeClr val="lt1"/>
            </a:solidFill>
          </a:endParaRPr>
        </a:p>
        <a:p>
          <a:pPr indent="0" lvl="0" marL="0" rtl="0" algn="l">
            <a:spcBef>
              <a:spcPts val="0"/>
            </a:spcBef>
            <a:spcAft>
              <a:spcPts val="0"/>
            </a:spcAft>
            <a:buClr>
              <a:schemeClr val="lt1"/>
            </a:buClr>
            <a:buSzPts val="1100"/>
            <a:buFont typeface="Arial"/>
            <a:buNone/>
          </a:pPr>
          <a:r>
            <a:rPr b="1" lang="en-US" sz="1100">
              <a:solidFill>
                <a:schemeClr val="lt1"/>
              </a:solidFill>
            </a:rPr>
            <a:t>El Rango bajo </a:t>
          </a:r>
          <a:r>
            <a:rPr lang="en-US" sz="1100">
              <a:solidFill>
                <a:schemeClr val="lt1"/>
              </a:solidFill>
            </a:rPr>
            <a:t>de la valoración se calcula añadiendo a la fórmula un grado de certidumbre del 85% asumiendo un rango de error en las proyecciones de hasta el 15%.</a:t>
          </a:r>
          <a:endParaRPr sz="1100">
            <a:solidFill>
              <a:schemeClr val="lt1"/>
            </a:solidFill>
          </a:endParaRPr>
        </a:p>
        <a:p>
          <a:pPr indent="0" lvl="0" marL="0" rtl="0" algn="l">
            <a:spcBef>
              <a:spcPts val="0"/>
            </a:spcBef>
            <a:spcAft>
              <a:spcPts val="0"/>
            </a:spcAft>
            <a:buClr>
              <a:schemeClr val="lt1"/>
            </a:buClr>
            <a:buSzPts val="1100"/>
            <a:buFont typeface="Arial"/>
            <a:buNone/>
          </a:pPr>
          <a:r>
            <a:t/>
          </a:r>
          <a:endParaRPr sz="1100">
            <a:solidFill>
              <a:schemeClr val="lt1"/>
            </a:solidFill>
          </a:endParaRPr>
        </a:p>
        <a:p>
          <a:pPr indent="0" lvl="0" marL="0" rtl="0" algn="l">
            <a:spcBef>
              <a:spcPts val="0"/>
            </a:spcBef>
            <a:spcAft>
              <a:spcPts val="0"/>
            </a:spcAft>
            <a:buClr>
              <a:schemeClr val="lt1"/>
            </a:buClr>
            <a:buSzPts val="1100"/>
            <a:buFont typeface="Arial"/>
            <a:buNone/>
          </a:pPr>
          <a:r>
            <a:rPr b="1" lang="en-US" sz="1100">
              <a:solidFill>
                <a:schemeClr val="lt1"/>
              </a:solidFill>
            </a:rPr>
            <a:t>Así, el Múltiplo ABYA de seguridad = [(ROE- k)/(CE - k)]* נ</a:t>
          </a:r>
          <a:r>
            <a:rPr lang="en-US" sz="1100">
              <a:solidFill>
                <a:schemeClr val="lt1"/>
              </a:solidFill>
            </a:rPr>
            <a:t> ,  siendo </a:t>
          </a:r>
          <a:r>
            <a:rPr b="1" lang="en-US" sz="1100">
              <a:solidFill>
                <a:schemeClr val="lt1"/>
              </a:solidFill>
            </a:rPr>
            <a:t>נ</a:t>
          </a:r>
          <a:r>
            <a:rPr lang="en-US" sz="1100">
              <a:solidFill>
                <a:schemeClr val="lt1"/>
              </a:solidFill>
            </a:rPr>
            <a:t>  el grado de Certidumbre (o confianza) resultante del </a:t>
          </a:r>
          <a:r>
            <a:rPr b="1" lang="en-US" sz="1100" u="sng">
              <a:solidFill>
                <a:schemeClr val="lt1"/>
              </a:solidFill>
            </a:rPr>
            <a:t>promedio</a:t>
          </a:r>
          <a:r>
            <a:rPr lang="en-US" sz="1100">
              <a:solidFill>
                <a:schemeClr val="lt1"/>
              </a:solidFill>
            </a:rPr>
            <a:t> de grados de certidumbre de sucesos de los eventos negativos (estandarizado al 85%) y siendo el ROE seleccionado el generado por la compañía en el último año de estimaciones y siendo “k” la tasa de crecimiento perenne del grupo.</a:t>
          </a:r>
          <a:endParaRPr sz="1400"/>
        </a:p>
      </xdr:txBody>
    </xdr:sp>
    <xdr:clientData fLocksWithSheet="0"/>
  </xdr:oneCellAnchor>
  <xdr:oneCellAnchor>
    <xdr:from>
      <xdr:col>1</xdr:col>
      <xdr:colOff>114300</xdr:colOff>
      <xdr:row>268</xdr:row>
      <xdr:rowOff>57150</xdr:rowOff>
    </xdr:from>
    <xdr:ext cx="3457575" cy="1943100"/>
    <xdr:sp>
      <xdr:nvSpPr>
        <xdr:cNvPr id="4" name="Shape 4"/>
        <xdr:cNvSpPr txBox="1"/>
      </xdr:nvSpPr>
      <xdr:spPr>
        <a:xfrm>
          <a:off x="3621975" y="2813213"/>
          <a:ext cx="3448050" cy="1933575"/>
        </a:xfrm>
        <a:prstGeom prst="rect">
          <a:avLst/>
        </a:prstGeom>
        <a:solidFill>
          <a:srgbClr val="CFE2F3"/>
        </a:solidFill>
        <a:ln cap="flat" cmpd="sng" w="9525">
          <a:solidFill>
            <a:srgbClr val="000000"/>
          </a:solidFill>
          <a:prstDash val="solid"/>
          <a:round/>
          <a:headEnd len="sm" w="sm" type="none"/>
          <a:tailEnd len="sm" w="sm" type="none"/>
        </a:ln>
      </xdr:spPr>
      <xdr:txBody>
        <a:bodyPr anchorCtr="0" anchor="t" bIns="91425" lIns="91425" spcFirstLastPara="1" rIns="91425" wrap="square" tIns="91425">
          <a:noAutofit/>
        </a:bodyPr>
        <a:lstStyle/>
        <a:p>
          <a:pPr indent="-282575" lvl="0" marL="457200" rtl="0" algn="l">
            <a:spcBef>
              <a:spcPts val="0"/>
            </a:spcBef>
            <a:spcAft>
              <a:spcPts val="0"/>
            </a:spcAft>
            <a:buSzPts val="850"/>
            <a:buFont typeface="Arial"/>
            <a:buChar char="-"/>
          </a:pPr>
          <a:r>
            <a:rPr b="1" lang="en-US" sz="850"/>
            <a:t>Si la conversión es INFERIOR al 85%, se cojerá como precio objetivo el rango Seg. Total - Seg. Absoluta. </a:t>
          </a:r>
          <a:endParaRPr b="1" sz="850"/>
        </a:p>
        <a:p>
          <a:pPr indent="0" lvl="0" marL="457200" rtl="0" algn="l">
            <a:spcBef>
              <a:spcPts val="0"/>
            </a:spcBef>
            <a:spcAft>
              <a:spcPts val="0"/>
            </a:spcAft>
            <a:buSzPts val="850"/>
            <a:buFont typeface="Arial"/>
            <a:buNone/>
          </a:pPr>
          <a:r>
            <a:t/>
          </a:r>
          <a:endParaRPr b="1" sz="850">
            <a:highlight>
              <a:srgbClr val="FFFFFF"/>
            </a:highlight>
          </a:endParaRPr>
        </a:p>
        <a:p>
          <a:pPr indent="0" lvl="0" marL="457200" marR="0" rtl="0" algn="l">
            <a:lnSpc>
              <a:spcPct val="100000"/>
            </a:lnSpc>
            <a:spcBef>
              <a:spcPts val="0"/>
            </a:spcBef>
            <a:spcAft>
              <a:spcPts val="0"/>
            </a:spcAft>
            <a:buSzPts val="850"/>
            <a:buFont typeface="Arial"/>
            <a:buNone/>
          </a:pPr>
          <a:r>
            <a:t/>
          </a:r>
          <a:endParaRPr b="1" sz="850"/>
        </a:p>
        <a:p>
          <a:pPr indent="-282575" lvl="0" marL="457200" marR="0" rtl="0" algn="l">
            <a:lnSpc>
              <a:spcPct val="100000"/>
            </a:lnSpc>
            <a:spcBef>
              <a:spcPts val="0"/>
            </a:spcBef>
            <a:spcAft>
              <a:spcPts val="0"/>
            </a:spcAft>
            <a:buSzPts val="850"/>
            <a:buFont typeface="Arial"/>
            <a:buChar char="-"/>
          </a:pPr>
          <a:r>
            <a:rPr b="1" lang="en-US" sz="850"/>
            <a:t>En las asiáticas también usaremos el rango de Seguridad Total - Seguridad Absoluta. </a:t>
          </a:r>
          <a:endParaRPr b="1" sz="850"/>
        </a:p>
        <a:p>
          <a:pPr indent="0" lvl="0" marL="457200" marR="0" rtl="0" algn="l">
            <a:lnSpc>
              <a:spcPct val="100000"/>
            </a:lnSpc>
            <a:spcBef>
              <a:spcPts val="0"/>
            </a:spcBef>
            <a:spcAft>
              <a:spcPts val="0"/>
            </a:spcAft>
            <a:buSzPts val="850"/>
            <a:buFont typeface="Arial"/>
            <a:buNone/>
          </a:pPr>
          <a:r>
            <a:t/>
          </a:r>
          <a:endParaRPr b="1" sz="850"/>
        </a:p>
        <a:p>
          <a:pPr indent="0" lvl="0" marL="457200" marR="0" rtl="0" algn="l">
            <a:lnSpc>
              <a:spcPct val="100000"/>
            </a:lnSpc>
            <a:spcBef>
              <a:spcPts val="0"/>
            </a:spcBef>
            <a:spcAft>
              <a:spcPts val="0"/>
            </a:spcAft>
            <a:buSzPts val="850"/>
            <a:buFont typeface="Arial"/>
            <a:buNone/>
          </a:pPr>
          <a:r>
            <a:t/>
          </a:r>
          <a:endParaRPr b="1" sz="850"/>
        </a:p>
        <a:p>
          <a:pPr indent="-282575" lvl="0" marL="457200" marR="0" rtl="0" algn="l">
            <a:lnSpc>
              <a:spcPct val="100000"/>
            </a:lnSpc>
            <a:spcBef>
              <a:spcPts val="0"/>
            </a:spcBef>
            <a:spcAft>
              <a:spcPts val="0"/>
            </a:spcAft>
            <a:buSzPts val="850"/>
            <a:buFont typeface="Arial"/>
            <a:buChar char="-"/>
          </a:pPr>
          <a:r>
            <a:rPr b="1" lang="en-US" sz="850"/>
            <a:t>Si es asiática y la conversión es inferior al 85% directamente no nos interesa, pero de tener que usarla, usariamos el rango de seguridad absoluta - rango descuento del 30%. </a:t>
          </a:r>
          <a:endParaRPr b="1" sz="850"/>
        </a:p>
        <a:p>
          <a:pPr indent="0" lvl="0" marL="0" rtl="0" algn="l">
            <a:spcBef>
              <a:spcPts val="0"/>
            </a:spcBef>
            <a:spcAft>
              <a:spcPts val="0"/>
            </a:spcAft>
            <a:buSzPts val="850"/>
            <a:buFont typeface="Arial"/>
            <a:buNone/>
          </a:pPr>
          <a:r>
            <a:t/>
          </a:r>
          <a:endParaRPr b="1" sz="850">
            <a:highlight>
              <a:srgbClr val="FFFFFF"/>
            </a:highlight>
          </a:endParaRPr>
        </a:p>
        <a:p>
          <a:pPr indent="0" lvl="0" marL="0" rtl="0" algn="l">
            <a:spcBef>
              <a:spcPts val="0"/>
            </a:spcBef>
            <a:spcAft>
              <a:spcPts val="0"/>
            </a:spcAft>
            <a:buSzPts val="850"/>
            <a:buFont typeface="Arial"/>
            <a:buNone/>
          </a:pPr>
          <a:r>
            <a:t/>
          </a:r>
          <a:endParaRPr b="1" sz="850">
            <a:highlight>
              <a:srgbClr val="FFFFFF"/>
            </a:highlight>
          </a:endParaRPr>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showGridLines="0" workbookViewId="0"/>
  </sheetViews>
  <sheetFormatPr customHeight="1" defaultColWidth="12.63" defaultRowHeight="15.0" outlineLevelRow="1"/>
  <cols>
    <col customWidth="1" min="1" max="1" width="12.5"/>
    <col customWidth="1" min="2" max="2" width="2.0"/>
    <col customWidth="1" min="3" max="3" width="32.5"/>
    <col customWidth="1" hidden="1" min="4" max="9" width="12.5"/>
    <col customWidth="1" min="10" max="43" width="12.5"/>
  </cols>
  <sheetData>
    <row r="1" ht="15.75" customHeight="1">
      <c r="A1" s="1"/>
      <c r="B1" s="2"/>
      <c r="C1" s="2"/>
      <c r="D1" s="3"/>
      <c r="E1" s="4">
        <v>2013.0</v>
      </c>
      <c r="F1" s="4">
        <v>2014.0</v>
      </c>
      <c r="G1" s="4">
        <v>2015.0</v>
      </c>
      <c r="H1" s="4">
        <v>2016.0</v>
      </c>
      <c r="I1" s="4">
        <v>2017.0</v>
      </c>
      <c r="J1" s="5"/>
      <c r="K1" s="5">
        <v>2020.0</v>
      </c>
      <c r="L1" s="5">
        <v>2021.0</v>
      </c>
      <c r="M1" s="5">
        <v>2022.0</v>
      </c>
      <c r="N1" s="5">
        <v>2023.0</v>
      </c>
      <c r="O1" s="5">
        <v>2024.0</v>
      </c>
      <c r="P1" s="6">
        <v>2025.0</v>
      </c>
      <c r="Q1" s="6">
        <v>2026.0</v>
      </c>
      <c r="R1" s="6">
        <v>2027.0</v>
      </c>
      <c r="S1" s="6"/>
      <c r="T1" s="6"/>
      <c r="U1" s="6"/>
      <c r="W1" s="7"/>
    </row>
    <row r="2" ht="15.75" customHeight="1">
      <c r="A2" s="8"/>
      <c r="B2" s="8"/>
      <c r="C2" s="9"/>
      <c r="D2" s="8" t="s">
        <v>0</v>
      </c>
      <c r="E2" s="9"/>
      <c r="F2" s="9"/>
      <c r="G2" s="9"/>
      <c r="H2" s="9"/>
      <c r="I2" s="9"/>
      <c r="J2" s="9"/>
      <c r="K2" s="9"/>
      <c r="L2" s="9"/>
      <c r="M2" s="9"/>
      <c r="N2" s="9"/>
      <c r="O2" s="9"/>
      <c r="P2" s="9"/>
      <c r="Q2" s="9"/>
      <c r="R2" s="9"/>
      <c r="S2" s="9"/>
      <c r="T2" s="9"/>
      <c r="W2" s="10"/>
      <c r="X2" s="10"/>
    </row>
    <row r="3" ht="15.75" customHeight="1">
      <c r="A3" s="9"/>
      <c r="B3" s="9"/>
      <c r="C3" s="11" t="s">
        <v>1</v>
      </c>
      <c r="K3" s="9"/>
      <c r="L3" s="9"/>
      <c r="M3" s="9"/>
      <c r="N3" s="9"/>
      <c r="O3" s="9"/>
      <c r="P3" s="9"/>
      <c r="Q3" s="11" t="s">
        <v>2</v>
      </c>
      <c r="W3" s="10"/>
      <c r="X3" s="10"/>
    </row>
    <row r="4" ht="15.75" customHeight="1">
      <c r="A4" s="12"/>
      <c r="B4" s="13" t="s">
        <v>3</v>
      </c>
      <c r="C4" s="14"/>
      <c r="D4" s="14"/>
      <c r="E4" s="14"/>
      <c r="F4" s="14"/>
      <c r="G4" s="14"/>
      <c r="H4" s="14"/>
      <c r="I4" s="14"/>
      <c r="J4" s="14"/>
      <c r="K4" s="14"/>
      <c r="L4" s="14"/>
      <c r="M4" s="14"/>
      <c r="N4" s="14"/>
      <c r="O4" s="14"/>
      <c r="P4" s="14"/>
      <c r="Q4" s="14"/>
      <c r="R4" s="14"/>
      <c r="S4" s="14"/>
      <c r="T4" s="14"/>
      <c r="U4" s="14"/>
      <c r="W4" s="10"/>
      <c r="X4" s="10"/>
    </row>
    <row r="5" ht="15.75" customHeight="1">
      <c r="A5" s="15"/>
      <c r="B5" s="15"/>
      <c r="C5" s="15" t="s">
        <v>4</v>
      </c>
      <c r="D5" s="16">
        <v>365.0</v>
      </c>
      <c r="E5" s="9"/>
      <c r="F5" s="9"/>
      <c r="G5" s="9"/>
      <c r="H5" s="9"/>
      <c r="I5" s="9"/>
      <c r="J5" s="9"/>
      <c r="K5" s="9"/>
      <c r="L5" s="9"/>
      <c r="M5" s="9"/>
      <c r="N5" s="9"/>
      <c r="O5" s="9"/>
      <c r="P5" s="9"/>
      <c r="Q5" s="9"/>
      <c r="R5" s="9"/>
      <c r="S5" s="9"/>
      <c r="T5" s="9"/>
      <c r="W5" s="10"/>
      <c r="X5" s="10"/>
    </row>
    <row r="6" ht="15.75" customHeight="1">
      <c r="A6" s="1"/>
      <c r="B6" s="17"/>
      <c r="C6" s="17"/>
      <c r="D6" s="18"/>
      <c r="E6" s="19">
        <v>2013.0</v>
      </c>
      <c r="F6" s="19">
        <v>2014.0</v>
      </c>
      <c r="G6" s="19">
        <v>2015.0</v>
      </c>
      <c r="H6" s="19">
        <v>2016.0</v>
      </c>
      <c r="I6" s="19">
        <v>2017.0</v>
      </c>
      <c r="J6" s="20">
        <v>43525.0</v>
      </c>
      <c r="K6" s="21">
        <v>43891.0</v>
      </c>
      <c r="L6" s="21">
        <v>44256.0</v>
      </c>
      <c r="M6" s="21">
        <v>44621.0</v>
      </c>
      <c r="N6" s="21">
        <v>44986.0</v>
      </c>
      <c r="O6" s="21">
        <v>45352.0</v>
      </c>
      <c r="P6" s="21">
        <v>45717.0</v>
      </c>
      <c r="Q6" s="22">
        <v>46082.0</v>
      </c>
      <c r="R6" s="22">
        <v>46447.0</v>
      </c>
      <c r="S6" s="23">
        <v>46814.0</v>
      </c>
      <c r="T6" s="23">
        <v>47180.0</v>
      </c>
      <c r="U6" s="23">
        <v>47546.0</v>
      </c>
      <c r="W6" s="24" t="s">
        <v>5</v>
      </c>
      <c r="X6" s="25"/>
      <c r="Y6" s="26" t="s">
        <v>6</v>
      </c>
      <c r="Z6" s="27"/>
    </row>
    <row r="7" ht="15.75" customHeight="1">
      <c r="A7" s="28"/>
      <c r="B7" s="28" t="s">
        <v>7</v>
      </c>
      <c r="C7" s="28"/>
      <c r="D7" s="29"/>
      <c r="E7" s="29"/>
      <c r="F7" s="29"/>
      <c r="G7" s="29"/>
      <c r="H7" s="29"/>
      <c r="I7" s="29"/>
      <c r="J7" s="30">
        <v>376844.0</v>
      </c>
      <c r="K7" s="30">
        <v>509711.0</v>
      </c>
      <c r="L7" s="30">
        <v>717289.0</v>
      </c>
      <c r="M7" s="30">
        <v>853062.0</v>
      </c>
      <c r="N7" s="30">
        <v>868687.0</v>
      </c>
      <c r="O7" s="31">
        <v>941168.0</v>
      </c>
      <c r="P7" s="32">
        <f t="shared" ref="P7:U7" si="1">P29</f>
        <v>996347</v>
      </c>
      <c r="Q7" s="32">
        <f t="shared" si="1"/>
        <v>1045401.43</v>
      </c>
      <c r="R7" s="32">
        <f t="shared" si="1"/>
        <v>1124420.842</v>
      </c>
      <c r="S7" s="32">
        <f t="shared" si="1"/>
        <v>1203987.191</v>
      </c>
      <c r="T7" s="32">
        <f t="shared" si="1"/>
        <v>1290019.084</v>
      </c>
      <c r="U7" s="32">
        <f t="shared" si="1"/>
        <v>1383098.202</v>
      </c>
      <c r="V7" s="33"/>
      <c r="W7" s="34">
        <f>RRI(5,P7,U7)</f>
        <v>0.06779646762</v>
      </c>
      <c r="Y7" s="35">
        <f>RRI(4,Q7,U7)</f>
        <v>0.07248809907</v>
      </c>
      <c r="Z7" s="36"/>
      <c r="AA7" s="33"/>
      <c r="AB7" s="33"/>
      <c r="AC7" s="33"/>
      <c r="AD7" s="33"/>
      <c r="AE7" s="33"/>
      <c r="AF7" s="33"/>
      <c r="AG7" s="33"/>
      <c r="AH7" s="33"/>
      <c r="AI7" s="33"/>
      <c r="AJ7" s="33"/>
      <c r="AK7" s="33"/>
      <c r="AL7" s="33"/>
      <c r="AM7" s="33"/>
      <c r="AN7" s="33"/>
      <c r="AO7" s="33"/>
      <c r="AP7" s="33"/>
      <c r="AQ7" s="33"/>
    </row>
    <row r="8" ht="15.75" customHeight="1">
      <c r="A8" s="15"/>
      <c r="B8" s="15"/>
      <c r="C8" s="15" t="s">
        <v>8</v>
      </c>
      <c r="D8" s="37"/>
      <c r="E8" s="37"/>
      <c r="F8" s="37"/>
      <c r="G8" s="37"/>
      <c r="H8" s="37"/>
      <c r="I8" s="37"/>
      <c r="J8" s="38"/>
      <c r="K8" s="38">
        <f t="shared" ref="K8:U8" si="2">(K7/J7)-1</f>
        <v>0.3525782552</v>
      </c>
      <c r="L8" s="38">
        <f t="shared" si="2"/>
        <v>0.4072464593</v>
      </c>
      <c r="M8" s="38">
        <f t="shared" si="2"/>
        <v>0.1892863267</v>
      </c>
      <c r="N8" s="38">
        <f t="shared" si="2"/>
        <v>0.01831637091</v>
      </c>
      <c r="O8" s="38">
        <f t="shared" si="2"/>
        <v>0.08343741762</v>
      </c>
      <c r="P8" s="38">
        <f t="shared" si="2"/>
        <v>0.05862821515</v>
      </c>
      <c r="Q8" s="38">
        <f t="shared" si="2"/>
        <v>0.04923428284</v>
      </c>
      <c r="R8" s="38">
        <f t="shared" si="2"/>
        <v>0.0755876258</v>
      </c>
      <c r="S8" s="38">
        <f t="shared" si="2"/>
        <v>0.070762072</v>
      </c>
      <c r="T8" s="38">
        <f t="shared" si="2"/>
        <v>0.07145582141</v>
      </c>
      <c r="U8" s="38">
        <f t="shared" si="2"/>
        <v>0.07215328709</v>
      </c>
      <c r="V8" s="39"/>
      <c r="W8" s="40"/>
      <c r="Y8" s="39"/>
      <c r="Z8" s="41"/>
    </row>
    <row r="9" ht="15.75" customHeight="1">
      <c r="A9" s="15"/>
      <c r="B9" s="15" t="s">
        <v>9</v>
      </c>
      <c r="C9" s="15"/>
      <c r="D9" s="37"/>
      <c r="E9" s="37"/>
      <c r="F9" s="37"/>
      <c r="G9" s="37"/>
      <c r="H9" s="37"/>
      <c r="I9" s="37"/>
      <c r="J9" s="37"/>
      <c r="K9" s="38"/>
      <c r="L9" s="38"/>
      <c r="M9" s="38"/>
      <c r="N9" s="38"/>
      <c r="O9" s="38"/>
      <c r="P9" s="38"/>
      <c r="Q9" s="38"/>
      <c r="R9" s="16"/>
      <c r="S9" s="16"/>
      <c r="T9" s="16"/>
      <c r="U9" s="16"/>
      <c r="W9" s="40"/>
      <c r="Z9" s="42"/>
    </row>
    <row r="10" ht="15.75" customHeight="1" outlineLevel="1">
      <c r="A10" s="43"/>
      <c r="B10" s="43"/>
      <c r="C10" s="44"/>
      <c r="D10" s="44"/>
      <c r="E10" s="44"/>
      <c r="F10" s="44"/>
      <c r="G10" s="44"/>
      <c r="H10" s="44"/>
      <c r="I10" s="44"/>
      <c r="J10" s="45"/>
      <c r="K10" s="46"/>
      <c r="L10" s="46"/>
      <c r="M10" s="46"/>
      <c r="N10" s="46"/>
      <c r="P10" s="47"/>
      <c r="Q10" s="47"/>
      <c r="R10" s="47"/>
      <c r="S10" s="47"/>
      <c r="T10" s="47"/>
      <c r="U10" s="47"/>
      <c r="V10" s="48"/>
      <c r="W10" s="49"/>
      <c r="Y10" s="48"/>
      <c r="Z10" s="50"/>
      <c r="AA10" s="48"/>
      <c r="AB10" s="48"/>
      <c r="AC10" s="48"/>
      <c r="AD10" s="48"/>
      <c r="AE10" s="48"/>
      <c r="AF10" s="48"/>
      <c r="AG10" s="48"/>
      <c r="AH10" s="48"/>
      <c r="AI10" s="48"/>
      <c r="AJ10" s="48"/>
      <c r="AK10" s="48"/>
      <c r="AL10" s="48"/>
      <c r="AM10" s="48"/>
      <c r="AN10" s="48"/>
      <c r="AO10" s="48"/>
      <c r="AP10" s="48"/>
      <c r="AQ10" s="48"/>
    </row>
    <row r="11" ht="15.75" customHeight="1" outlineLevel="1">
      <c r="A11" s="51"/>
      <c r="B11" s="51"/>
      <c r="C11" s="52" t="s">
        <v>10</v>
      </c>
      <c r="D11" s="53"/>
      <c r="E11" s="53"/>
      <c r="F11" s="53"/>
      <c r="G11" s="53"/>
      <c r="H11" s="53"/>
      <c r="I11" s="53"/>
      <c r="J11" s="54"/>
      <c r="K11" s="55"/>
      <c r="L11" s="55"/>
      <c r="M11" s="55"/>
      <c r="N11" s="56">
        <v>413206.0</v>
      </c>
      <c r="O11" s="56">
        <v>434893.0</v>
      </c>
      <c r="P11" s="57">
        <v>449827.0</v>
      </c>
      <c r="Q11" s="56">
        <f t="shared" ref="Q11:U11" si="3">P11*(1+Q12)</f>
        <v>472318.35</v>
      </c>
      <c r="R11" s="56">
        <f t="shared" si="3"/>
        <v>505380.6345</v>
      </c>
      <c r="S11" s="56">
        <f t="shared" si="3"/>
        <v>540757.2789</v>
      </c>
      <c r="T11" s="56">
        <f t="shared" si="3"/>
        <v>578610.2884</v>
      </c>
      <c r="U11" s="56">
        <f t="shared" si="3"/>
        <v>619113.0086</v>
      </c>
      <c r="V11" s="58"/>
      <c r="W11" s="34">
        <f>RRI(5,P11,U11)</f>
        <v>0.06596975361</v>
      </c>
      <c r="Y11" s="35">
        <f>RRI(4,Q11,U11)</f>
        <v>0.07</v>
      </c>
      <c r="Z11" s="36"/>
      <c r="AA11" s="59"/>
      <c r="AB11" s="59"/>
      <c r="AC11" s="59"/>
      <c r="AD11" s="59"/>
      <c r="AE11" s="59"/>
      <c r="AF11" s="59"/>
      <c r="AG11" s="59"/>
      <c r="AH11" s="59"/>
      <c r="AI11" s="59"/>
      <c r="AJ11" s="59"/>
      <c r="AK11" s="59"/>
      <c r="AL11" s="59"/>
      <c r="AM11" s="59"/>
      <c r="AN11" s="59"/>
      <c r="AO11" s="59"/>
      <c r="AP11" s="59"/>
      <c r="AQ11" s="59"/>
    </row>
    <row r="12" ht="15.75" customHeight="1" outlineLevel="1">
      <c r="A12" s="51"/>
      <c r="B12" s="51"/>
      <c r="C12" s="60" t="s">
        <v>11</v>
      </c>
      <c r="D12" s="60"/>
      <c r="E12" s="60"/>
      <c r="F12" s="60"/>
      <c r="G12" s="60"/>
      <c r="H12" s="60"/>
      <c r="I12" s="60"/>
      <c r="J12" s="61"/>
      <c r="K12" s="62"/>
      <c r="L12" s="62"/>
      <c r="M12" s="62"/>
      <c r="N12" s="63"/>
      <c r="O12" s="64">
        <f t="shared" ref="O12:P12" si="4">O11/N11-100%</f>
        <v>0.05248471707</v>
      </c>
      <c r="P12" s="64">
        <f t="shared" si="4"/>
        <v>0.03433948121</v>
      </c>
      <c r="Q12" s="65">
        <v>0.05</v>
      </c>
      <c r="R12" s="65">
        <v>0.07</v>
      </c>
      <c r="S12" s="65">
        <v>0.07</v>
      </c>
      <c r="T12" s="65">
        <v>0.07</v>
      </c>
      <c r="U12" s="65">
        <v>0.07</v>
      </c>
      <c r="V12" s="58"/>
      <c r="W12" s="66"/>
      <c r="X12" s="67"/>
      <c r="Y12" s="59"/>
      <c r="Z12" s="68"/>
      <c r="AA12" s="59"/>
      <c r="AB12" s="59"/>
      <c r="AC12" s="59"/>
      <c r="AD12" s="59"/>
      <c r="AE12" s="59"/>
      <c r="AF12" s="59"/>
      <c r="AG12" s="59"/>
      <c r="AH12" s="59"/>
      <c r="AI12" s="59"/>
      <c r="AJ12" s="59"/>
      <c r="AK12" s="59"/>
      <c r="AL12" s="59"/>
      <c r="AM12" s="59"/>
      <c r="AN12" s="59"/>
      <c r="AO12" s="59"/>
      <c r="AP12" s="59"/>
      <c r="AQ12" s="59"/>
    </row>
    <row r="13" ht="15.75" customHeight="1" outlineLevel="1">
      <c r="A13" s="69"/>
      <c r="B13" s="69"/>
      <c r="C13" s="70" t="s">
        <v>12</v>
      </c>
      <c r="D13" s="71"/>
      <c r="E13" s="71"/>
      <c r="F13" s="71"/>
      <c r="G13" s="71"/>
      <c r="H13" s="71"/>
      <c r="I13" s="71"/>
      <c r="J13" s="72"/>
      <c r="K13" s="72"/>
      <c r="L13" s="72"/>
      <c r="M13" s="72"/>
      <c r="N13" s="56">
        <v>103497.0</v>
      </c>
      <c r="O13" s="56">
        <v>106374.0</v>
      </c>
      <c r="P13" s="57">
        <v>118028.0</v>
      </c>
      <c r="Q13" s="56">
        <f t="shared" ref="Q13:U13" si="5">P13*(1+Q14)</f>
        <v>132191.36</v>
      </c>
      <c r="R13" s="56">
        <f t="shared" si="5"/>
        <v>148054.3232</v>
      </c>
      <c r="S13" s="56">
        <f t="shared" si="5"/>
        <v>165820.842</v>
      </c>
      <c r="T13" s="56">
        <f t="shared" si="5"/>
        <v>185719.343</v>
      </c>
      <c r="U13" s="56">
        <f t="shared" si="5"/>
        <v>208005.6642</v>
      </c>
      <c r="V13" s="73"/>
      <c r="W13" s="34">
        <f>RRI(5,P13,U13)</f>
        <v>0.12</v>
      </c>
      <c r="Y13" s="35">
        <f>RRI(4,Q13,U13)</f>
        <v>0.12</v>
      </c>
      <c r="Z13" s="36"/>
      <c r="AA13" s="74"/>
      <c r="AB13" s="74"/>
      <c r="AC13" s="74"/>
      <c r="AD13" s="74"/>
      <c r="AE13" s="74"/>
      <c r="AF13" s="74"/>
      <c r="AG13" s="74"/>
      <c r="AH13" s="74"/>
      <c r="AI13" s="74"/>
      <c r="AJ13" s="74"/>
      <c r="AK13" s="74"/>
      <c r="AL13" s="74"/>
      <c r="AM13" s="74"/>
      <c r="AN13" s="74"/>
      <c r="AO13" s="74"/>
      <c r="AP13" s="74"/>
      <c r="AQ13" s="74"/>
    </row>
    <row r="14" ht="15.75" customHeight="1" outlineLevel="1">
      <c r="A14" s="75"/>
      <c r="B14" s="75"/>
      <c r="C14" s="60" t="s">
        <v>11</v>
      </c>
      <c r="D14" s="60"/>
      <c r="E14" s="60"/>
      <c r="F14" s="60"/>
      <c r="G14" s="60"/>
      <c r="H14" s="60"/>
      <c r="I14" s="60"/>
      <c r="J14" s="61"/>
      <c r="K14" s="62"/>
      <c r="L14" s="62"/>
      <c r="M14" s="62"/>
      <c r="N14" s="63"/>
      <c r="O14" s="64">
        <f t="shared" ref="O14:P14" si="6">O13/N13-100%</f>
        <v>0.02779790719</v>
      </c>
      <c r="P14" s="64">
        <f t="shared" si="6"/>
        <v>0.1095568466</v>
      </c>
      <c r="Q14" s="76">
        <v>0.12</v>
      </c>
      <c r="R14" s="76">
        <v>0.12</v>
      </c>
      <c r="S14" s="76">
        <v>0.12</v>
      </c>
      <c r="T14" s="76">
        <v>0.12</v>
      </c>
      <c r="U14" s="76">
        <v>0.12</v>
      </c>
      <c r="V14" s="77"/>
      <c r="W14" s="66"/>
      <c r="X14" s="67"/>
      <c r="Y14" s="77"/>
      <c r="Z14" s="78"/>
      <c r="AA14" s="77"/>
      <c r="AB14" s="77"/>
      <c r="AC14" s="77"/>
      <c r="AD14" s="77"/>
      <c r="AE14" s="77"/>
      <c r="AF14" s="77"/>
      <c r="AG14" s="77"/>
      <c r="AH14" s="77"/>
      <c r="AI14" s="77"/>
      <c r="AJ14" s="77"/>
      <c r="AK14" s="77"/>
      <c r="AL14" s="77"/>
      <c r="AM14" s="77"/>
      <c r="AN14" s="77"/>
      <c r="AO14" s="77"/>
      <c r="AP14" s="77"/>
      <c r="AQ14" s="77"/>
    </row>
    <row r="15" ht="15.75" customHeight="1" outlineLevel="1">
      <c r="A15" s="79"/>
      <c r="B15" s="79"/>
      <c r="C15" s="70" t="s">
        <v>13</v>
      </c>
      <c r="D15" s="80"/>
      <c r="E15" s="80"/>
      <c r="F15" s="80"/>
      <c r="G15" s="80"/>
      <c r="H15" s="80"/>
      <c r="I15" s="80"/>
      <c r="J15" s="81"/>
      <c r="K15" s="81"/>
      <c r="L15" s="81"/>
      <c r="M15" s="81"/>
      <c r="N15" s="56">
        <v>70506.0</v>
      </c>
      <c r="O15" s="56">
        <v>102598.0</v>
      </c>
      <c r="P15" s="57">
        <v>132300.0</v>
      </c>
      <c r="Q15" s="56">
        <f t="shared" ref="Q15:U15" si="7">P15*(1+Q16)</f>
        <v>148176</v>
      </c>
      <c r="R15" s="56">
        <f t="shared" si="7"/>
        <v>168920.64</v>
      </c>
      <c r="S15" s="56">
        <f t="shared" si="7"/>
        <v>185812.704</v>
      </c>
      <c r="T15" s="56">
        <f t="shared" si="7"/>
        <v>204393.9744</v>
      </c>
      <c r="U15" s="56">
        <f t="shared" si="7"/>
        <v>224833.3718</v>
      </c>
      <c r="V15" s="82"/>
      <c r="W15" s="34">
        <f>RRI(5,P15,U15)</f>
        <v>0.1118858052</v>
      </c>
      <c r="Y15" s="35">
        <f>RRI(4,Q15,U15)</f>
        <v>0.1098664585</v>
      </c>
      <c r="Z15" s="36"/>
      <c r="AA15" s="82"/>
      <c r="AB15" s="82"/>
      <c r="AC15" s="82"/>
      <c r="AD15" s="82"/>
      <c r="AE15" s="82"/>
      <c r="AF15" s="82"/>
      <c r="AG15" s="82"/>
      <c r="AH15" s="82"/>
      <c r="AI15" s="82"/>
      <c r="AJ15" s="82"/>
      <c r="AK15" s="82"/>
      <c r="AL15" s="82"/>
      <c r="AM15" s="82"/>
      <c r="AN15" s="82"/>
      <c r="AO15" s="82"/>
      <c r="AP15" s="82"/>
      <c r="AQ15" s="82"/>
    </row>
    <row r="16" ht="15.75" customHeight="1" outlineLevel="1">
      <c r="A16" s="51"/>
      <c r="B16" s="51"/>
      <c r="C16" s="60" t="s">
        <v>11</v>
      </c>
      <c r="D16" s="60"/>
      <c r="E16" s="60"/>
      <c r="F16" s="60"/>
      <c r="G16" s="60"/>
      <c r="H16" s="60"/>
      <c r="I16" s="60"/>
      <c r="J16" s="54"/>
      <c r="K16" s="62"/>
      <c r="L16" s="62"/>
      <c r="M16" s="62"/>
      <c r="N16" s="63"/>
      <c r="O16" s="64">
        <f t="shared" ref="O16:P16" si="8">O15/N15-100%</f>
        <v>0.4551669361</v>
      </c>
      <c r="P16" s="64">
        <f t="shared" si="8"/>
        <v>0.2894988206</v>
      </c>
      <c r="Q16" s="65">
        <v>0.12</v>
      </c>
      <c r="R16" s="65">
        <v>0.14</v>
      </c>
      <c r="S16" s="76">
        <v>0.1</v>
      </c>
      <c r="T16" s="65">
        <f t="shared" ref="T16:U16" si="9">S16</f>
        <v>0.1</v>
      </c>
      <c r="U16" s="65">
        <f t="shared" si="9"/>
        <v>0.1</v>
      </c>
      <c r="V16" s="59"/>
      <c r="W16" s="66"/>
      <c r="X16" s="67"/>
      <c r="Y16" s="59"/>
      <c r="Z16" s="68"/>
      <c r="AA16" s="59"/>
      <c r="AB16" s="59"/>
      <c r="AC16" s="59"/>
      <c r="AD16" s="59"/>
      <c r="AE16" s="59"/>
      <c r="AF16" s="59"/>
      <c r="AG16" s="59"/>
      <c r="AH16" s="59"/>
      <c r="AI16" s="59"/>
      <c r="AJ16" s="59"/>
      <c r="AK16" s="59"/>
      <c r="AL16" s="59"/>
      <c r="AM16" s="59"/>
      <c r="AN16" s="59"/>
      <c r="AO16" s="59"/>
      <c r="AP16" s="59"/>
      <c r="AQ16" s="59"/>
    </row>
    <row r="17" ht="15.75" customHeight="1" outlineLevel="1">
      <c r="A17" s="69"/>
      <c r="B17" s="69"/>
      <c r="C17" s="70" t="s">
        <v>14</v>
      </c>
      <c r="D17" s="71"/>
      <c r="E17" s="71"/>
      <c r="F17" s="71"/>
      <c r="G17" s="71"/>
      <c r="H17" s="71"/>
      <c r="I17" s="71"/>
      <c r="J17" s="72"/>
      <c r="K17" s="72"/>
      <c r="L17" s="72"/>
      <c r="M17" s="72"/>
      <c r="N17" s="56">
        <v>77512.0</v>
      </c>
      <c r="O17" s="56">
        <v>99020.0</v>
      </c>
      <c r="P17" s="57">
        <v>101272.0</v>
      </c>
      <c r="Q17" s="56">
        <f t="shared" ref="Q17:U17" si="10">P17*(1+Q18)</f>
        <v>101272</v>
      </c>
      <c r="R17" s="56">
        <f t="shared" si="10"/>
        <v>108361.04</v>
      </c>
      <c r="S17" s="56">
        <f t="shared" si="10"/>
        <v>115946.3128</v>
      </c>
      <c r="T17" s="56">
        <f t="shared" si="10"/>
        <v>124062.5547</v>
      </c>
      <c r="U17" s="56">
        <f t="shared" si="10"/>
        <v>132746.9335</v>
      </c>
      <c r="V17" s="74"/>
      <c r="W17" s="34">
        <f>RRI(5,P17,U17)</f>
        <v>0.05561857147</v>
      </c>
      <c r="Y17" s="35">
        <f>RRI(4,Q17,U17)</f>
        <v>0.07</v>
      </c>
      <c r="Z17" s="36"/>
      <c r="AA17" s="74"/>
      <c r="AB17" s="74"/>
      <c r="AC17" s="74"/>
      <c r="AD17" s="74"/>
      <c r="AE17" s="74"/>
      <c r="AF17" s="74"/>
      <c r="AG17" s="74"/>
      <c r="AH17" s="74"/>
      <c r="AI17" s="74"/>
      <c r="AJ17" s="74"/>
      <c r="AK17" s="74"/>
      <c r="AL17" s="74"/>
      <c r="AM17" s="74"/>
      <c r="AN17" s="74"/>
      <c r="AO17" s="74"/>
      <c r="AP17" s="74"/>
      <c r="AQ17" s="74"/>
    </row>
    <row r="18" ht="15.75" customHeight="1" outlineLevel="1">
      <c r="A18" s="51"/>
      <c r="B18" s="51"/>
      <c r="C18" s="60" t="s">
        <v>11</v>
      </c>
      <c r="D18" s="60"/>
      <c r="E18" s="60"/>
      <c r="F18" s="60"/>
      <c r="G18" s="60"/>
      <c r="H18" s="60"/>
      <c r="I18" s="60"/>
      <c r="J18" s="54"/>
      <c r="K18" s="54"/>
      <c r="L18" s="54"/>
      <c r="M18" s="54"/>
      <c r="N18" s="63"/>
      <c r="O18" s="64">
        <f t="shared" ref="O18:P18" si="11">O17/N17-100%</f>
        <v>0.2774796161</v>
      </c>
      <c r="P18" s="64">
        <f t="shared" si="11"/>
        <v>0.02274288023</v>
      </c>
      <c r="Q18" s="76">
        <v>0.0</v>
      </c>
      <c r="R18" s="76">
        <v>0.07</v>
      </c>
      <c r="S18" s="76">
        <v>0.07</v>
      </c>
      <c r="T18" s="76">
        <v>0.07</v>
      </c>
      <c r="U18" s="76">
        <v>0.07</v>
      </c>
      <c r="V18" s="59"/>
      <c r="W18" s="66"/>
      <c r="X18" s="67"/>
      <c r="Y18" s="59"/>
      <c r="Z18" s="68"/>
      <c r="AA18" s="59"/>
      <c r="AB18" s="59"/>
      <c r="AC18" s="59"/>
      <c r="AD18" s="59"/>
      <c r="AE18" s="59"/>
      <c r="AF18" s="59"/>
      <c r="AG18" s="59"/>
      <c r="AH18" s="59"/>
      <c r="AI18" s="59"/>
      <c r="AJ18" s="59"/>
      <c r="AK18" s="59"/>
      <c r="AL18" s="59"/>
      <c r="AM18" s="59"/>
      <c r="AN18" s="59"/>
      <c r="AO18" s="59"/>
      <c r="AP18" s="59"/>
      <c r="AQ18" s="59"/>
    </row>
    <row r="19" ht="15.75" customHeight="1" outlineLevel="1">
      <c r="A19" s="83"/>
      <c r="B19" s="83"/>
      <c r="C19" s="70" t="s">
        <v>15</v>
      </c>
      <c r="D19" s="84"/>
      <c r="E19" s="84"/>
      <c r="F19" s="84"/>
      <c r="G19" s="84"/>
      <c r="H19" s="84"/>
      <c r="I19" s="84"/>
      <c r="J19" s="85"/>
      <c r="K19" s="85"/>
      <c r="L19" s="85"/>
      <c r="M19" s="85"/>
      <c r="N19" s="56">
        <v>50249.0</v>
      </c>
      <c r="O19" s="56">
        <v>59802.0</v>
      </c>
      <c r="P19" s="57">
        <v>67076.0</v>
      </c>
      <c r="Q19" s="56">
        <f t="shared" ref="Q19:U19" si="12">P19*(1+Q20)</f>
        <v>71771.32</v>
      </c>
      <c r="R19" s="56">
        <f t="shared" si="12"/>
        <v>76795.3124</v>
      </c>
      <c r="S19" s="56">
        <f t="shared" si="12"/>
        <v>82170.98427</v>
      </c>
      <c r="T19" s="56">
        <f t="shared" si="12"/>
        <v>87922.95317</v>
      </c>
      <c r="U19" s="56">
        <f t="shared" si="12"/>
        <v>94077.55989</v>
      </c>
      <c r="V19" s="86"/>
      <c r="W19" s="34">
        <f>RRI(5,P19,U19)</f>
        <v>0.07</v>
      </c>
      <c r="Y19" s="35">
        <f>RRI(4,Q19,U19)</f>
        <v>0.07</v>
      </c>
      <c r="Z19" s="36"/>
      <c r="AA19" s="86"/>
      <c r="AB19" s="86"/>
      <c r="AC19" s="86"/>
      <c r="AD19" s="86"/>
      <c r="AE19" s="86"/>
      <c r="AF19" s="86"/>
      <c r="AG19" s="86"/>
      <c r="AH19" s="86"/>
      <c r="AI19" s="86"/>
      <c r="AJ19" s="86"/>
      <c r="AK19" s="86"/>
      <c r="AL19" s="86"/>
      <c r="AM19" s="86"/>
      <c r="AN19" s="86"/>
      <c r="AO19" s="86"/>
      <c r="AP19" s="86"/>
      <c r="AQ19" s="86"/>
    </row>
    <row r="20" ht="15.75" customHeight="1" outlineLevel="1">
      <c r="A20" s="51"/>
      <c r="B20" s="51"/>
      <c r="C20" s="60" t="s">
        <v>11</v>
      </c>
      <c r="D20" s="60"/>
      <c r="E20" s="60"/>
      <c r="F20" s="60"/>
      <c r="G20" s="60"/>
      <c r="H20" s="60"/>
      <c r="I20" s="60"/>
      <c r="J20" s="87"/>
      <c r="K20" s="64"/>
      <c r="L20" s="64"/>
      <c r="M20" s="64"/>
      <c r="N20" s="63"/>
      <c r="O20" s="64">
        <f t="shared" ref="O20:P20" si="13">O19/N19-100%</f>
        <v>0.1901132361</v>
      </c>
      <c r="P20" s="64">
        <f t="shared" si="13"/>
        <v>0.1216347279</v>
      </c>
      <c r="Q20" s="65">
        <v>0.07</v>
      </c>
      <c r="R20" s="65">
        <v>0.07</v>
      </c>
      <c r="S20" s="65">
        <v>0.07</v>
      </c>
      <c r="T20" s="65">
        <v>0.07</v>
      </c>
      <c r="U20" s="65">
        <v>0.07</v>
      </c>
      <c r="V20" s="59"/>
      <c r="W20" s="66"/>
      <c r="X20" s="67"/>
      <c r="Y20" s="59"/>
      <c r="Z20" s="68"/>
      <c r="AA20" s="59"/>
      <c r="AB20" s="59"/>
      <c r="AC20" s="59"/>
      <c r="AD20" s="59"/>
      <c r="AE20" s="59"/>
      <c r="AF20" s="59"/>
      <c r="AG20" s="59"/>
      <c r="AH20" s="59"/>
      <c r="AI20" s="59"/>
      <c r="AJ20" s="59"/>
      <c r="AK20" s="59"/>
      <c r="AL20" s="59"/>
      <c r="AM20" s="59"/>
      <c r="AN20" s="59"/>
      <c r="AO20" s="59"/>
      <c r="AP20" s="59"/>
      <c r="AQ20" s="59"/>
    </row>
    <row r="21" ht="15.75" customHeight="1" outlineLevel="1">
      <c r="A21" s="88"/>
      <c r="B21" s="88"/>
      <c r="C21" s="70" t="s">
        <v>16</v>
      </c>
      <c r="D21" s="70"/>
      <c r="E21" s="70"/>
      <c r="F21" s="70"/>
      <c r="G21" s="70"/>
      <c r="H21" s="70"/>
      <c r="I21" s="70"/>
      <c r="J21" s="89"/>
      <c r="K21" s="85"/>
      <c r="L21" s="85"/>
      <c r="M21" s="85"/>
      <c r="N21" s="56">
        <v>18444.0</v>
      </c>
      <c r="O21" s="56">
        <v>21145.0</v>
      </c>
      <c r="P21" s="57">
        <v>22267.0</v>
      </c>
      <c r="Q21" s="56">
        <f t="shared" ref="Q21:U21" si="14">P21*(1+Q22)</f>
        <v>23157.68</v>
      </c>
      <c r="R21" s="56">
        <f t="shared" si="14"/>
        <v>24083.9872</v>
      </c>
      <c r="S21" s="56">
        <f t="shared" si="14"/>
        <v>25047.34669</v>
      </c>
      <c r="T21" s="56">
        <f t="shared" si="14"/>
        <v>26049.24056</v>
      </c>
      <c r="U21" s="56">
        <f t="shared" si="14"/>
        <v>27091.21018</v>
      </c>
      <c r="V21" s="90"/>
      <c r="W21" s="34">
        <f>RRI(5,P21,U21)</f>
        <v>0.04</v>
      </c>
      <c r="Y21" s="35">
        <f>RRI(4,Q21,U21)</f>
        <v>0.04</v>
      </c>
      <c r="Z21" s="36"/>
      <c r="AA21" s="90"/>
      <c r="AB21" s="90"/>
      <c r="AC21" s="90"/>
      <c r="AD21" s="90"/>
      <c r="AE21" s="90"/>
      <c r="AF21" s="90"/>
      <c r="AG21" s="90"/>
      <c r="AH21" s="90"/>
      <c r="AI21" s="90"/>
      <c r="AJ21" s="90"/>
      <c r="AK21" s="90"/>
      <c r="AL21" s="90"/>
      <c r="AM21" s="90"/>
      <c r="AN21" s="90"/>
      <c r="AO21" s="90"/>
      <c r="AP21" s="90"/>
      <c r="AQ21" s="90"/>
    </row>
    <row r="22" ht="15.75" customHeight="1" outlineLevel="1">
      <c r="A22" s="51"/>
      <c r="B22" s="51"/>
      <c r="C22" s="60" t="s">
        <v>11</v>
      </c>
      <c r="D22" s="60"/>
      <c r="E22" s="60"/>
      <c r="F22" s="60"/>
      <c r="G22" s="60"/>
      <c r="H22" s="60"/>
      <c r="I22" s="60"/>
      <c r="J22" s="91"/>
      <c r="K22" s="64"/>
      <c r="L22" s="64"/>
      <c r="M22" s="64"/>
      <c r="N22" s="63"/>
      <c r="O22" s="64">
        <f t="shared" ref="O22:P22" si="15">O21/N21-100%</f>
        <v>0.1464432878</v>
      </c>
      <c r="P22" s="64">
        <f t="shared" si="15"/>
        <v>0.05306218964</v>
      </c>
      <c r="Q22" s="65">
        <v>0.04</v>
      </c>
      <c r="R22" s="65">
        <v>0.04</v>
      </c>
      <c r="S22" s="65">
        <v>0.04</v>
      </c>
      <c r="T22" s="65">
        <v>0.04</v>
      </c>
      <c r="U22" s="65">
        <v>0.04</v>
      </c>
      <c r="V22" s="59"/>
      <c r="W22" s="66"/>
      <c r="X22" s="67"/>
      <c r="Y22" s="59"/>
      <c r="Z22" s="68"/>
      <c r="AA22" s="59"/>
      <c r="AB22" s="59"/>
      <c r="AC22" s="59"/>
      <c r="AD22" s="59"/>
      <c r="AE22" s="59"/>
      <c r="AF22" s="59"/>
      <c r="AG22" s="59"/>
      <c r="AH22" s="59"/>
      <c r="AI22" s="59"/>
      <c r="AJ22" s="59"/>
      <c r="AK22" s="59"/>
      <c r="AL22" s="59"/>
      <c r="AM22" s="59"/>
      <c r="AN22" s="59"/>
      <c r="AO22" s="59"/>
      <c r="AP22" s="59"/>
      <c r="AQ22" s="59"/>
    </row>
    <row r="23" ht="15.75" customHeight="1" outlineLevel="1">
      <c r="A23" s="88"/>
      <c r="B23" s="88"/>
      <c r="C23" s="70" t="s">
        <v>17</v>
      </c>
      <c r="D23" s="70"/>
      <c r="E23" s="70"/>
      <c r="F23" s="70"/>
      <c r="G23" s="70"/>
      <c r="H23" s="70"/>
      <c r="I23" s="70"/>
      <c r="J23" s="70"/>
      <c r="K23" s="56"/>
      <c r="L23" s="56"/>
      <c r="M23" s="56"/>
      <c r="N23" s="56">
        <v>197115.0</v>
      </c>
      <c r="O23" s="56">
        <v>192331.0</v>
      </c>
      <c r="P23" s="57">
        <v>206269.0</v>
      </c>
      <c r="Q23" s="56">
        <f t="shared" ref="Q23:U23" si="16">P23*(1+Q24)</f>
        <v>206269</v>
      </c>
      <c r="R23" s="56">
        <f t="shared" si="16"/>
        <v>212457.07</v>
      </c>
      <c r="S23" s="56">
        <f t="shared" si="16"/>
        <v>218830.7821</v>
      </c>
      <c r="T23" s="56">
        <f t="shared" si="16"/>
        <v>225395.7056</v>
      </c>
      <c r="U23" s="56">
        <f t="shared" si="16"/>
        <v>232157.5767</v>
      </c>
      <c r="V23" s="90"/>
      <c r="W23" s="34">
        <f>RRI(5,P23,U23)</f>
        <v>0.02392885001</v>
      </c>
      <c r="Y23" s="35">
        <f>RRI(4,Q23,U23)</f>
        <v>0.03</v>
      </c>
      <c r="Z23" s="36"/>
      <c r="AA23" s="90"/>
      <c r="AB23" s="90"/>
      <c r="AC23" s="90"/>
      <c r="AD23" s="90"/>
      <c r="AE23" s="90"/>
      <c r="AF23" s="90"/>
      <c r="AG23" s="90"/>
      <c r="AH23" s="90"/>
      <c r="AI23" s="90"/>
      <c r="AJ23" s="90"/>
      <c r="AK23" s="90"/>
      <c r="AL23" s="90"/>
      <c r="AM23" s="90"/>
      <c r="AN23" s="90"/>
      <c r="AO23" s="90"/>
      <c r="AP23" s="90"/>
      <c r="AQ23" s="90"/>
    </row>
    <row r="24" ht="15.75" customHeight="1" outlineLevel="1">
      <c r="A24" s="51"/>
      <c r="B24" s="51"/>
      <c r="C24" s="60" t="s">
        <v>11</v>
      </c>
      <c r="D24" s="60"/>
      <c r="E24" s="60"/>
      <c r="F24" s="60"/>
      <c r="G24" s="60"/>
      <c r="H24" s="60"/>
      <c r="I24" s="60"/>
      <c r="J24" s="64"/>
      <c r="K24" s="64"/>
      <c r="L24" s="64"/>
      <c r="M24" s="64"/>
      <c r="N24" s="63"/>
      <c r="O24" s="64">
        <f t="shared" ref="O24:P24" si="17">O23/N23-100%</f>
        <v>-0.02427009614</v>
      </c>
      <c r="P24" s="64">
        <f t="shared" si="17"/>
        <v>0.07246881678</v>
      </c>
      <c r="Q24" s="65">
        <v>0.0</v>
      </c>
      <c r="R24" s="65">
        <v>0.03</v>
      </c>
      <c r="S24" s="65">
        <v>0.03</v>
      </c>
      <c r="T24" s="65">
        <v>0.03</v>
      </c>
      <c r="U24" s="65">
        <v>0.03</v>
      </c>
      <c r="V24" s="59"/>
      <c r="W24" s="66"/>
      <c r="X24" s="67"/>
      <c r="Y24" s="59"/>
      <c r="Z24" s="68"/>
      <c r="AA24" s="59"/>
      <c r="AB24" s="59"/>
      <c r="AC24" s="59"/>
      <c r="AD24" s="59"/>
      <c r="AE24" s="59"/>
      <c r="AF24" s="59"/>
      <c r="AG24" s="59"/>
      <c r="AH24" s="59"/>
      <c r="AI24" s="59"/>
      <c r="AJ24" s="59"/>
      <c r="AK24" s="59"/>
      <c r="AL24" s="59"/>
      <c r="AM24" s="59"/>
      <c r="AN24" s="59"/>
      <c r="AO24" s="59"/>
      <c r="AP24" s="59"/>
      <c r="AQ24" s="59"/>
    </row>
    <row r="25" ht="15.75" customHeight="1" outlineLevel="1">
      <c r="A25" s="88"/>
      <c r="B25" s="88"/>
      <c r="C25" s="70" t="s">
        <v>18</v>
      </c>
      <c r="D25" s="70"/>
      <c r="E25" s="70"/>
      <c r="F25" s="70"/>
      <c r="G25" s="70"/>
      <c r="H25" s="70"/>
      <c r="I25" s="70"/>
      <c r="J25" s="56"/>
      <c r="K25" s="56"/>
      <c r="L25" s="56"/>
      <c r="M25" s="56"/>
      <c r="N25" s="56">
        <v>-61842.0</v>
      </c>
      <c r="O25" s="56">
        <v>-74995.0</v>
      </c>
      <c r="P25" s="57">
        <v>-100692.0</v>
      </c>
      <c r="Q25" s="56">
        <f t="shared" ref="Q25:U25" si="18">P25*(1+Q26)</f>
        <v>-109754.28</v>
      </c>
      <c r="R25" s="56">
        <f t="shared" si="18"/>
        <v>-119632.1652</v>
      </c>
      <c r="S25" s="56">
        <f t="shared" si="18"/>
        <v>-130399.0601</v>
      </c>
      <c r="T25" s="56">
        <f t="shared" si="18"/>
        <v>-142134.9755</v>
      </c>
      <c r="U25" s="56">
        <f t="shared" si="18"/>
        <v>-154927.1233</v>
      </c>
      <c r="V25" s="90"/>
      <c r="W25" s="34"/>
      <c r="Y25" s="35"/>
      <c r="Z25" s="36"/>
      <c r="AA25" s="90"/>
      <c r="AB25" s="90"/>
      <c r="AC25" s="90"/>
      <c r="AD25" s="90"/>
      <c r="AE25" s="90"/>
      <c r="AF25" s="90"/>
      <c r="AG25" s="90"/>
      <c r="AH25" s="90"/>
      <c r="AI25" s="90"/>
      <c r="AJ25" s="90"/>
      <c r="AK25" s="90"/>
      <c r="AL25" s="90"/>
      <c r="AM25" s="90"/>
      <c r="AN25" s="90"/>
      <c r="AO25" s="90"/>
      <c r="AP25" s="90"/>
      <c r="AQ25" s="90"/>
    </row>
    <row r="26" ht="15.75" customHeight="1" outlineLevel="1">
      <c r="A26" s="43"/>
      <c r="B26" s="43"/>
      <c r="C26" s="52"/>
      <c r="D26" s="92"/>
      <c r="E26" s="92"/>
      <c r="F26" s="92"/>
      <c r="G26" s="92"/>
      <c r="H26" s="92"/>
      <c r="I26" s="92"/>
      <c r="J26" s="92"/>
      <c r="K26" s="93"/>
      <c r="L26" s="93"/>
      <c r="M26" s="93"/>
      <c r="N26" s="94"/>
      <c r="O26" s="64">
        <f t="shared" ref="O26:P26" si="19">O25/N25-100%</f>
        <v>0.2126871705</v>
      </c>
      <c r="P26" s="64">
        <f t="shared" si="19"/>
        <v>0.34264951</v>
      </c>
      <c r="Q26" s="65">
        <v>0.09</v>
      </c>
      <c r="R26" s="65">
        <v>0.09</v>
      </c>
      <c r="S26" s="65">
        <v>0.09</v>
      </c>
      <c r="T26" s="65">
        <v>0.09</v>
      </c>
      <c r="U26" s="65">
        <v>0.09</v>
      </c>
      <c r="V26" s="48"/>
      <c r="W26" s="40"/>
      <c r="X26" s="95"/>
      <c r="Y26" s="48"/>
      <c r="Z26" s="50"/>
      <c r="AA26" s="48"/>
      <c r="AB26" s="48"/>
      <c r="AC26" s="48"/>
      <c r="AD26" s="48"/>
      <c r="AE26" s="48"/>
      <c r="AF26" s="48"/>
      <c r="AG26" s="48"/>
      <c r="AH26" s="48"/>
      <c r="AI26" s="48"/>
      <c r="AJ26" s="48"/>
      <c r="AK26" s="48"/>
      <c r="AL26" s="48"/>
      <c r="AM26" s="48"/>
      <c r="AN26" s="48"/>
      <c r="AO26" s="48"/>
      <c r="AP26" s="48"/>
      <c r="AQ26" s="48"/>
    </row>
    <row r="27" ht="15.75" customHeight="1" outlineLevel="1">
      <c r="A27" s="43"/>
      <c r="B27" s="43"/>
      <c r="C27" s="52"/>
      <c r="D27" s="92"/>
      <c r="E27" s="92"/>
      <c r="F27" s="92"/>
      <c r="G27" s="92"/>
      <c r="H27" s="92"/>
      <c r="I27" s="92"/>
      <c r="J27" s="92"/>
      <c r="K27" s="93"/>
      <c r="L27" s="93"/>
      <c r="M27" s="93"/>
      <c r="N27" s="94"/>
      <c r="O27" s="96"/>
      <c r="P27" s="96"/>
      <c r="Q27" s="96"/>
      <c r="R27" s="96"/>
      <c r="S27" s="96"/>
      <c r="T27" s="96"/>
      <c r="U27" s="96"/>
      <c r="V27" s="48"/>
      <c r="W27" s="40"/>
      <c r="X27" s="95"/>
      <c r="Y27" s="48"/>
      <c r="Z27" s="50"/>
      <c r="AA27" s="48"/>
      <c r="AB27" s="48"/>
      <c r="AC27" s="48"/>
      <c r="AD27" s="48"/>
      <c r="AE27" s="48"/>
      <c r="AF27" s="48"/>
      <c r="AG27" s="48"/>
      <c r="AH27" s="48"/>
      <c r="AI27" s="48"/>
      <c r="AJ27" s="48"/>
      <c r="AK27" s="48"/>
      <c r="AL27" s="48"/>
      <c r="AM27" s="48"/>
      <c r="AN27" s="48"/>
      <c r="AO27" s="48"/>
      <c r="AP27" s="48"/>
      <c r="AQ27" s="48"/>
    </row>
    <row r="28" ht="15.75" customHeight="1" outlineLevel="1">
      <c r="A28" s="43"/>
      <c r="B28" s="43"/>
      <c r="C28" s="97"/>
      <c r="D28" s="92"/>
      <c r="E28" s="92"/>
      <c r="F28" s="92"/>
      <c r="G28" s="92"/>
      <c r="H28" s="92"/>
      <c r="I28" s="92"/>
      <c r="J28" s="92"/>
      <c r="K28" s="93"/>
      <c r="L28" s="93"/>
      <c r="M28" s="93"/>
      <c r="N28" s="94"/>
      <c r="O28" s="98"/>
      <c r="P28" s="98"/>
      <c r="Q28" s="98"/>
      <c r="R28" s="98"/>
      <c r="S28" s="98"/>
      <c r="T28" s="98"/>
      <c r="U28" s="98"/>
      <c r="V28" s="48"/>
      <c r="W28" s="40"/>
      <c r="X28" s="95"/>
      <c r="Y28" s="48"/>
      <c r="Z28" s="50"/>
      <c r="AA28" s="48"/>
      <c r="AB28" s="48"/>
      <c r="AC28" s="48"/>
      <c r="AD28" s="48"/>
      <c r="AE28" s="48"/>
      <c r="AF28" s="48"/>
      <c r="AG28" s="48"/>
      <c r="AH28" s="48"/>
      <c r="AI28" s="48"/>
      <c r="AJ28" s="48"/>
      <c r="AK28" s="48"/>
      <c r="AL28" s="48"/>
      <c r="AM28" s="48"/>
      <c r="AN28" s="48"/>
      <c r="AO28" s="48"/>
      <c r="AP28" s="48"/>
      <c r="AQ28" s="48"/>
    </row>
    <row r="29" ht="15.75" customHeight="1" outlineLevel="1">
      <c r="A29" s="88"/>
      <c r="B29" s="88"/>
      <c r="C29" s="99" t="s">
        <v>19</v>
      </c>
      <c r="D29" s="100"/>
      <c r="E29" s="100"/>
      <c r="F29" s="100"/>
      <c r="G29" s="100"/>
      <c r="H29" s="100"/>
      <c r="I29" s="100"/>
      <c r="J29" s="100"/>
      <c r="K29" s="101"/>
      <c r="L29" s="101"/>
      <c r="M29" s="101"/>
      <c r="N29" s="101">
        <f t="shared" ref="N29:U29" si="20">N11+N13+N15+N17+N19+N21+N23+N25</f>
        <v>868687</v>
      </c>
      <c r="O29" s="101">
        <f t="shared" si="20"/>
        <v>941168</v>
      </c>
      <c r="P29" s="101">
        <f t="shared" si="20"/>
        <v>996347</v>
      </c>
      <c r="Q29" s="101">
        <f t="shared" si="20"/>
        <v>1045401.43</v>
      </c>
      <c r="R29" s="101">
        <f t="shared" si="20"/>
        <v>1124420.842</v>
      </c>
      <c r="S29" s="101">
        <f t="shared" si="20"/>
        <v>1203987.191</v>
      </c>
      <c r="T29" s="101">
        <f t="shared" si="20"/>
        <v>1290019.084</v>
      </c>
      <c r="U29" s="101">
        <f t="shared" si="20"/>
        <v>1383098.202</v>
      </c>
      <c r="V29" s="90"/>
      <c r="W29" s="40"/>
      <c r="X29" s="95"/>
      <c r="Y29" s="90"/>
      <c r="Z29" s="102"/>
      <c r="AA29" s="90"/>
      <c r="AB29" s="90"/>
      <c r="AC29" s="90"/>
      <c r="AD29" s="90"/>
      <c r="AE29" s="90"/>
      <c r="AF29" s="90"/>
      <c r="AG29" s="90"/>
      <c r="AH29" s="90"/>
      <c r="AI29" s="90"/>
      <c r="AJ29" s="90"/>
      <c r="AK29" s="90"/>
      <c r="AL29" s="90"/>
      <c r="AM29" s="90"/>
      <c r="AN29" s="90"/>
      <c r="AO29" s="90"/>
      <c r="AP29" s="90"/>
      <c r="AQ29" s="90"/>
    </row>
    <row r="30" ht="15.75" customHeight="1">
      <c r="A30" s="103"/>
      <c r="B30" s="103" t="s">
        <v>20</v>
      </c>
      <c r="C30" s="103"/>
      <c r="D30" s="104"/>
      <c r="E30" s="104"/>
      <c r="F30" s="104"/>
      <c r="G30" s="104"/>
      <c r="H30" s="104"/>
      <c r="I30" s="104"/>
      <c r="J30" s="46">
        <v>-204086.0</v>
      </c>
      <c r="K30" s="46">
        <v>-279713.0</v>
      </c>
      <c r="L30" s="46">
        <v>-419517.0</v>
      </c>
      <c r="M30" s="46">
        <v>-538705.0</v>
      </c>
      <c r="N30" s="46">
        <v>-548562.0</v>
      </c>
      <c r="O30" s="105">
        <v>-586323.0</v>
      </c>
      <c r="P30" s="106">
        <v>-598285.0</v>
      </c>
      <c r="Q30" s="107">
        <f t="shared" ref="Q30:U30" si="21">Q7*Q85</f>
        <v>-623059.2523</v>
      </c>
      <c r="R30" s="107">
        <f t="shared" si="21"/>
        <v>-665657.1385</v>
      </c>
      <c r="S30" s="107">
        <f t="shared" si="21"/>
        <v>-707944.4681</v>
      </c>
      <c r="T30" s="107">
        <f t="shared" si="21"/>
        <v>-753371.1453</v>
      </c>
      <c r="U30" s="107">
        <f t="shared" si="21"/>
        <v>-802196.957</v>
      </c>
      <c r="V30" s="108"/>
      <c r="W30" s="109"/>
      <c r="Y30" s="108"/>
      <c r="Z30" s="110"/>
      <c r="AA30" s="108"/>
      <c r="AB30" s="108"/>
      <c r="AC30" s="108"/>
      <c r="AD30" s="108"/>
      <c r="AE30" s="108"/>
      <c r="AF30" s="108"/>
      <c r="AG30" s="108"/>
      <c r="AH30" s="108"/>
      <c r="AI30" s="108"/>
      <c r="AJ30" s="108"/>
      <c r="AK30" s="108"/>
      <c r="AL30" s="108"/>
      <c r="AM30" s="108"/>
      <c r="AN30" s="108"/>
      <c r="AO30" s="108"/>
      <c r="AP30" s="108"/>
      <c r="AQ30" s="108"/>
    </row>
    <row r="31" ht="15.75" customHeight="1">
      <c r="A31" s="111"/>
      <c r="B31" s="111" t="s">
        <v>21</v>
      </c>
      <c r="C31" s="112"/>
      <c r="D31" s="112"/>
      <c r="E31" s="112"/>
      <c r="F31" s="112"/>
      <c r="G31" s="112"/>
      <c r="H31" s="112"/>
      <c r="I31" s="112"/>
      <c r="J31" s="113">
        <f t="shared" ref="J31:U31" si="22">J7+J30</f>
        <v>172758</v>
      </c>
      <c r="K31" s="113">
        <f t="shared" si="22"/>
        <v>229998</v>
      </c>
      <c r="L31" s="113">
        <f t="shared" si="22"/>
        <v>297772</v>
      </c>
      <c r="M31" s="113">
        <f t="shared" si="22"/>
        <v>314357</v>
      </c>
      <c r="N31" s="113">
        <f t="shared" si="22"/>
        <v>320125</v>
      </c>
      <c r="O31" s="113">
        <f t="shared" si="22"/>
        <v>354845</v>
      </c>
      <c r="P31" s="113">
        <f t="shared" si="22"/>
        <v>398062</v>
      </c>
      <c r="Q31" s="113">
        <f t="shared" si="22"/>
        <v>422342.1777</v>
      </c>
      <c r="R31" s="113">
        <f t="shared" si="22"/>
        <v>458763.7036</v>
      </c>
      <c r="S31" s="113">
        <f t="shared" si="22"/>
        <v>496042.7226</v>
      </c>
      <c r="T31" s="113">
        <f t="shared" si="22"/>
        <v>536647.9391</v>
      </c>
      <c r="U31" s="113">
        <f t="shared" si="22"/>
        <v>580901.2447</v>
      </c>
      <c r="V31" s="114"/>
      <c r="W31" s="34">
        <f>RRI(5,P31,U31)</f>
        <v>0.07852525045</v>
      </c>
      <c r="Y31" s="35">
        <f>RRI(4,Q31,U31)</f>
        <v>0.08295263671</v>
      </c>
      <c r="Z31" s="36"/>
      <c r="AA31" s="114"/>
      <c r="AB31" s="114"/>
      <c r="AC31" s="114"/>
      <c r="AD31" s="114"/>
      <c r="AE31" s="114"/>
      <c r="AF31" s="114"/>
      <c r="AG31" s="114"/>
      <c r="AH31" s="114"/>
      <c r="AI31" s="114"/>
      <c r="AJ31" s="114"/>
      <c r="AK31" s="114"/>
      <c r="AL31" s="114"/>
      <c r="AM31" s="114"/>
      <c r="AN31" s="114"/>
      <c r="AO31" s="114"/>
      <c r="AP31" s="114"/>
      <c r="AQ31" s="114"/>
    </row>
    <row r="32" ht="15.75" customHeight="1">
      <c r="A32" s="115"/>
      <c r="B32" s="115"/>
      <c r="C32" s="116" t="s">
        <v>22</v>
      </c>
      <c r="D32" s="117"/>
      <c r="E32" s="117"/>
      <c r="F32" s="117"/>
      <c r="G32" s="117"/>
      <c r="H32" s="117"/>
      <c r="I32" s="117"/>
      <c r="J32" s="118">
        <f t="shared" ref="J32:U32" si="23">J31/J7</f>
        <v>0.4584337285</v>
      </c>
      <c r="K32" s="118">
        <f t="shared" si="23"/>
        <v>0.4512321688</v>
      </c>
      <c r="L32" s="118">
        <f t="shared" si="23"/>
        <v>0.415135322</v>
      </c>
      <c r="M32" s="118">
        <f t="shared" si="23"/>
        <v>0.3685042822</v>
      </c>
      <c r="N32" s="118">
        <f t="shared" si="23"/>
        <v>0.3685159327</v>
      </c>
      <c r="O32" s="118">
        <f t="shared" si="23"/>
        <v>0.3770262057</v>
      </c>
      <c r="P32" s="118">
        <f t="shared" si="23"/>
        <v>0.3995214519</v>
      </c>
      <c r="Q32" s="118">
        <f t="shared" si="23"/>
        <v>0.404</v>
      </c>
      <c r="R32" s="118">
        <f t="shared" si="23"/>
        <v>0.408</v>
      </c>
      <c r="S32" s="118">
        <f t="shared" si="23"/>
        <v>0.412</v>
      </c>
      <c r="T32" s="118">
        <f t="shared" si="23"/>
        <v>0.416</v>
      </c>
      <c r="U32" s="118">
        <f t="shared" si="23"/>
        <v>0.42</v>
      </c>
      <c r="V32" s="119"/>
      <c r="W32" s="49"/>
      <c r="Y32" s="119"/>
      <c r="Z32" s="120"/>
      <c r="AA32" s="119"/>
      <c r="AB32" s="119"/>
      <c r="AC32" s="119"/>
      <c r="AD32" s="119"/>
      <c r="AE32" s="119"/>
      <c r="AF32" s="119"/>
      <c r="AG32" s="119"/>
      <c r="AH32" s="119"/>
      <c r="AI32" s="119"/>
      <c r="AJ32" s="119"/>
      <c r="AK32" s="119"/>
      <c r="AL32" s="119"/>
      <c r="AM32" s="119"/>
      <c r="AN32" s="119"/>
      <c r="AO32" s="119"/>
      <c r="AP32" s="119"/>
      <c r="AQ32" s="119"/>
    </row>
    <row r="33" ht="15.75" customHeight="1">
      <c r="A33" s="15"/>
      <c r="B33" s="15"/>
      <c r="C33" s="15"/>
      <c r="D33" s="37"/>
      <c r="E33" s="37"/>
      <c r="F33" s="37"/>
      <c r="G33" s="37"/>
      <c r="H33" s="37"/>
      <c r="I33" s="37"/>
      <c r="J33" s="37"/>
      <c r="K33" s="121"/>
      <c r="L33" s="121"/>
      <c r="M33" s="121"/>
      <c r="N33" s="121"/>
      <c r="O33" s="121"/>
      <c r="P33" s="121"/>
      <c r="Q33" s="121"/>
      <c r="R33" s="121"/>
      <c r="S33" s="121"/>
      <c r="T33" s="121"/>
      <c r="U33" s="121"/>
      <c r="W33" s="49"/>
      <c r="Z33" s="42"/>
    </row>
    <row r="34" ht="15.75" customHeight="1">
      <c r="A34" s="122"/>
      <c r="B34" s="122" t="s">
        <v>23</v>
      </c>
      <c r="C34" s="122"/>
      <c r="D34" s="123"/>
      <c r="E34" s="123"/>
      <c r="F34" s="123"/>
      <c r="G34" s="123"/>
      <c r="H34" s="123"/>
      <c r="I34" s="123"/>
      <c r="J34" s="46">
        <v>-62990.0</v>
      </c>
      <c r="K34" s="46">
        <v>-78870.0</v>
      </c>
      <c r="L34" s="46">
        <v>-118515.0</v>
      </c>
      <c r="M34" s="46">
        <v>-151721.0</v>
      </c>
      <c r="N34" s="46">
        <v>-145679.0</v>
      </c>
      <c r="O34" s="124">
        <v>-157126.0</v>
      </c>
      <c r="P34" s="125">
        <v>-188260.0</v>
      </c>
      <c r="Q34" s="126">
        <f t="shared" ref="Q34:U34" si="24">Q7*Q86</f>
        <v>-197528.8461</v>
      </c>
      <c r="R34" s="126">
        <f t="shared" si="24"/>
        <v>-212459.5826</v>
      </c>
      <c r="S34" s="126">
        <f t="shared" si="24"/>
        <v>-227493.6629</v>
      </c>
      <c r="T34" s="126">
        <f t="shared" si="24"/>
        <v>-243749.4094</v>
      </c>
      <c r="U34" s="126">
        <f t="shared" si="24"/>
        <v>-261336.7305</v>
      </c>
      <c r="V34" s="127"/>
      <c r="W34" s="109"/>
      <c r="Y34" s="128"/>
      <c r="Z34" s="129"/>
      <c r="AA34" s="128"/>
      <c r="AB34" s="128"/>
      <c r="AC34" s="128"/>
      <c r="AD34" s="128"/>
      <c r="AE34" s="128"/>
      <c r="AF34" s="128"/>
      <c r="AG34" s="128"/>
      <c r="AH34" s="128"/>
      <c r="AI34" s="128"/>
      <c r="AJ34" s="128"/>
      <c r="AK34" s="128"/>
      <c r="AL34" s="128"/>
      <c r="AM34" s="128"/>
      <c r="AN34" s="128"/>
      <c r="AO34" s="128"/>
      <c r="AP34" s="128"/>
      <c r="AQ34" s="128"/>
    </row>
    <row r="35" ht="15.75" customHeight="1">
      <c r="A35" s="8"/>
      <c r="B35" s="8" t="s">
        <v>24</v>
      </c>
      <c r="C35" s="15"/>
      <c r="D35" s="37"/>
      <c r="E35" s="37"/>
      <c r="F35" s="37"/>
      <c r="G35" s="37"/>
      <c r="H35" s="37"/>
      <c r="I35" s="37"/>
      <c r="O35" s="108"/>
      <c r="P35" s="126">
        <f t="shared" ref="P35:U35" si="25">P7*P87</f>
        <v>0</v>
      </c>
      <c r="Q35" s="126">
        <f t="shared" si="25"/>
        <v>0</v>
      </c>
      <c r="R35" s="126">
        <f t="shared" si="25"/>
        <v>0</v>
      </c>
      <c r="S35" s="126">
        <f t="shared" si="25"/>
        <v>0</v>
      </c>
      <c r="T35" s="126">
        <f t="shared" si="25"/>
        <v>0</v>
      </c>
      <c r="U35" s="126">
        <f t="shared" si="25"/>
        <v>0</v>
      </c>
      <c r="W35" s="109"/>
      <c r="Z35" s="42"/>
    </row>
    <row r="36" ht="15.75" customHeight="1">
      <c r="A36" s="8"/>
      <c r="B36" s="8" t="s">
        <v>25</v>
      </c>
      <c r="J36" s="46">
        <v>-37435.0</v>
      </c>
      <c r="K36" s="46">
        <v>-43080.0</v>
      </c>
      <c r="L36" s="46">
        <v>-57236.0</v>
      </c>
      <c r="M36" s="46">
        <v>-55465.0</v>
      </c>
      <c r="N36" s="46">
        <v>-56744.0</v>
      </c>
      <c r="O36" s="124">
        <v>-52256.0</v>
      </c>
      <c r="P36" s="125">
        <v>-57151.0</v>
      </c>
      <c r="Q36" s="126">
        <f t="shared" ref="Q36:U36" si="26">Q7*Q88</f>
        <v>-59964.7885</v>
      </c>
      <c r="R36" s="126">
        <f t="shared" si="26"/>
        <v>-64497.38449</v>
      </c>
      <c r="S36" s="126">
        <f t="shared" si="26"/>
        <v>-69061.35306</v>
      </c>
      <c r="T36" s="126">
        <f t="shared" si="26"/>
        <v>-73996.18877</v>
      </c>
      <c r="U36" s="126">
        <f t="shared" si="26"/>
        <v>-79335.25702</v>
      </c>
      <c r="V36" s="130"/>
      <c r="W36" s="109"/>
      <c r="X36" s="131"/>
      <c r="Z36" s="42"/>
    </row>
    <row r="37" ht="15.75" customHeight="1">
      <c r="A37" s="8"/>
      <c r="B37" s="8" t="s">
        <v>26</v>
      </c>
      <c r="J37" s="46">
        <v>-10727.0</v>
      </c>
      <c r="K37" s="46">
        <v>-12514.0</v>
      </c>
      <c r="L37" s="46">
        <v>-12427.0</v>
      </c>
      <c r="M37" s="46">
        <v>-10674.0</v>
      </c>
      <c r="N37" s="46">
        <v>-10693.0</v>
      </c>
      <c r="O37" s="124">
        <v>-6745.0</v>
      </c>
      <c r="P37" s="125">
        <v>-5702.0</v>
      </c>
      <c r="Q37" s="126">
        <f t="shared" ref="Q37:U37" si="27">Q7*Q89</f>
        <v>-5982.733881</v>
      </c>
      <c r="R37" s="126">
        <f t="shared" si="27"/>
        <v>-6434.954531</v>
      </c>
      <c r="S37" s="126">
        <f t="shared" si="27"/>
        <v>-6890.305246</v>
      </c>
      <c r="T37" s="126">
        <f t="shared" si="27"/>
        <v>-7382.657668</v>
      </c>
      <c r="U37" s="126">
        <f t="shared" si="27"/>
        <v>-7915.340686</v>
      </c>
      <c r="V37" s="130"/>
      <c r="W37" s="109"/>
      <c r="Z37" s="42"/>
    </row>
    <row r="38" ht="15.75" customHeight="1">
      <c r="A38" s="15"/>
      <c r="B38" s="15" t="s">
        <v>27</v>
      </c>
      <c r="C38" s="15"/>
      <c r="D38" s="37"/>
      <c r="E38" s="37"/>
      <c r="F38" s="37"/>
      <c r="G38" s="37"/>
      <c r="H38" s="37"/>
      <c r="I38" s="37"/>
      <c r="J38" s="105"/>
      <c r="K38" s="105"/>
      <c r="L38" s="105"/>
      <c r="M38" s="105"/>
      <c r="N38" s="105"/>
      <c r="O38" s="124"/>
      <c r="P38" s="132">
        <v>761.0</v>
      </c>
      <c r="Q38" s="126">
        <f t="shared" ref="Q38:U38" si="28">Q7*Q90</f>
        <v>0</v>
      </c>
      <c r="R38" s="126">
        <f t="shared" si="28"/>
        <v>0</v>
      </c>
      <c r="S38" s="126">
        <f t="shared" si="28"/>
        <v>0</v>
      </c>
      <c r="T38" s="126">
        <f t="shared" si="28"/>
        <v>0</v>
      </c>
      <c r="U38" s="126">
        <f t="shared" si="28"/>
        <v>0</v>
      </c>
      <c r="W38" s="109"/>
      <c r="Z38" s="42"/>
    </row>
    <row r="39" ht="15.75" customHeight="1">
      <c r="A39" s="79"/>
      <c r="B39" s="133" t="s">
        <v>28</v>
      </c>
      <c r="C39" s="79"/>
      <c r="D39" s="134"/>
      <c r="E39" s="134"/>
      <c r="F39" s="134"/>
      <c r="G39" s="134"/>
      <c r="H39" s="134"/>
      <c r="I39" s="134"/>
      <c r="J39" s="135">
        <f t="shared" ref="J39:U39" si="29">J34+J35+J36+J37+J38</f>
        <v>-111152</v>
      </c>
      <c r="K39" s="135">
        <f t="shared" si="29"/>
        <v>-134464</v>
      </c>
      <c r="L39" s="135">
        <f t="shared" si="29"/>
        <v>-188178</v>
      </c>
      <c r="M39" s="135">
        <f t="shared" si="29"/>
        <v>-217860</v>
      </c>
      <c r="N39" s="135">
        <f t="shared" si="29"/>
        <v>-213116</v>
      </c>
      <c r="O39" s="135">
        <f t="shared" si="29"/>
        <v>-216127</v>
      </c>
      <c r="P39" s="135">
        <f t="shared" si="29"/>
        <v>-250352</v>
      </c>
      <c r="Q39" s="135">
        <f t="shared" si="29"/>
        <v>-263476.3685</v>
      </c>
      <c r="R39" s="135">
        <f t="shared" si="29"/>
        <v>-283391.9216</v>
      </c>
      <c r="S39" s="135">
        <f t="shared" si="29"/>
        <v>-303445.3212</v>
      </c>
      <c r="T39" s="135">
        <f t="shared" si="29"/>
        <v>-325128.2559</v>
      </c>
      <c r="U39" s="135">
        <f t="shared" si="29"/>
        <v>-348587.3282</v>
      </c>
      <c r="V39" s="136"/>
      <c r="W39" s="66"/>
      <c r="X39" s="67"/>
      <c r="Y39" s="136"/>
      <c r="Z39" s="137"/>
      <c r="AA39" s="136"/>
      <c r="AB39" s="136"/>
      <c r="AC39" s="136"/>
      <c r="AD39" s="136"/>
      <c r="AE39" s="136"/>
      <c r="AF39" s="136"/>
      <c r="AG39" s="136"/>
      <c r="AH39" s="136"/>
      <c r="AI39" s="136"/>
      <c r="AJ39" s="136"/>
      <c r="AK39" s="136"/>
      <c r="AL39" s="136"/>
      <c r="AM39" s="136"/>
      <c r="AN39" s="136"/>
      <c r="AO39" s="136"/>
      <c r="AP39" s="136"/>
      <c r="AQ39" s="136"/>
    </row>
    <row r="40" ht="15.75" customHeight="1">
      <c r="A40" s="69"/>
      <c r="B40" s="69" t="s">
        <v>29</v>
      </c>
      <c r="C40" s="69"/>
      <c r="D40" s="138"/>
      <c r="E40" s="138"/>
      <c r="F40" s="138"/>
      <c r="G40" s="138"/>
      <c r="H40" s="138"/>
      <c r="I40" s="138"/>
      <c r="J40" s="73">
        <f t="shared" ref="J40:U40" si="30">SUM(J34:J38)+J31</f>
        <v>61606</v>
      </c>
      <c r="K40" s="73">
        <f t="shared" si="30"/>
        <v>95534</v>
      </c>
      <c r="L40" s="73">
        <f t="shared" si="30"/>
        <v>109594</v>
      </c>
      <c r="M40" s="73">
        <f t="shared" si="30"/>
        <v>96497</v>
      </c>
      <c r="N40" s="73">
        <f t="shared" si="30"/>
        <v>107009</v>
      </c>
      <c r="O40" s="73">
        <f t="shared" si="30"/>
        <v>138718</v>
      </c>
      <c r="P40" s="73">
        <f t="shared" si="30"/>
        <v>147710</v>
      </c>
      <c r="Q40" s="73">
        <f t="shared" si="30"/>
        <v>158865.8093</v>
      </c>
      <c r="R40" s="73">
        <f t="shared" si="30"/>
        <v>175371.782</v>
      </c>
      <c r="S40" s="73">
        <f t="shared" si="30"/>
        <v>192597.4014</v>
      </c>
      <c r="T40" s="73">
        <f t="shared" si="30"/>
        <v>211519.6832</v>
      </c>
      <c r="U40" s="73">
        <f t="shared" si="30"/>
        <v>232313.9165</v>
      </c>
      <c r="V40" s="108"/>
      <c r="W40" s="49"/>
      <c r="Y40" s="108"/>
      <c r="Z40" s="110"/>
      <c r="AA40" s="108"/>
      <c r="AB40" s="108"/>
      <c r="AC40" s="108"/>
      <c r="AD40" s="108"/>
      <c r="AE40" s="108"/>
      <c r="AF40" s="108"/>
      <c r="AG40" s="108"/>
      <c r="AH40" s="108"/>
      <c r="AI40" s="108"/>
      <c r="AJ40" s="108"/>
      <c r="AK40" s="108"/>
      <c r="AL40" s="108"/>
      <c r="AM40" s="108"/>
      <c r="AN40" s="108"/>
      <c r="AO40" s="108"/>
      <c r="AP40" s="108"/>
      <c r="AQ40" s="108"/>
    </row>
    <row r="41" ht="15.75" customHeight="1">
      <c r="A41" s="15"/>
      <c r="B41" s="15"/>
      <c r="C41" s="15"/>
      <c r="D41" s="37"/>
      <c r="E41" s="37"/>
      <c r="F41" s="37"/>
      <c r="G41" s="37"/>
      <c r="H41" s="37"/>
      <c r="I41" s="37"/>
      <c r="J41" s="37"/>
      <c r="K41" s="139"/>
      <c r="L41" s="139"/>
      <c r="M41" s="139"/>
      <c r="N41" s="139"/>
      <c r="O41" s="139"/>
      <c r="P41" s="139"/>
      <c r="Q41" s="139"/>
      <c r="R41" s="16"/>
      <c r="S41" s="16"/>
      <c r="T41" s="16"/>
      <c r="U41" s="16"/>
      <c r="W41" s="49"/>
      <c r="Z41" s="42"/>
    </row>
    <row r="42" ht="15.75" customHeight="1">
      <c r="A42" s="140"/>
      <c r="B42" s="141" t="s">
        <v>30</v>
      </c>
      <c r="C42" s="142"/>
      <c r="D42" s="143"/>
      <c r="E42" s="143"/>
      <c r="F42" s="143"/>
      <c r="G42" s="143"/>
      <c r="H42" s="143"/>
      <c r="I42" s="143"/>
      <c r="J42" s="144">
        <f t="shared" ref="J42:U42" si="31">J40-J37</f>
        <v>72333</v>
      </c>
      <c r="K42" s="144">
        <f t="shared" si="31"/>
        <v>108048</v>
      </c>
      <c r="L42" s="144">
        <f t="shared" si="31"/>
        <v>122021</v>
      </c>
      <c r="M42" s="144">
        <f t="shared" si="31"/>
        <v>107171</v>
      </c>
      <c r="N42" s="144">
        <f t="shared" si="31"/>
        <v>117702</v>
      </c>
      <c r="O42" s="144">
        <f t="shared" si="31"/>
        <v>145463</v>
      </c>
      <c r="P42" s="144">
        <f t="shared" si="31"/>
        <v>153412</v>
      </c>
      <c r="Q42" s="144">
        <f t="shared" si="31"/>
        <v>164848.5431</v>
      </c>
      <c r="R42" s="144">
        <f t="shared" si="31"/>
        <v>181806.7365</v>
      </c>
      <c r="S42" s="144">
        <f t="shared" si="31"/>
        <v>199487.7066</v>
      </c>
      <c r="T42" s="144">
        <f t="shared" si="31"/>
        <v>218902.3409</v>
      </c>
      <c r="U42" s="144">
        <f t="shared" si="31"/>
        <v>240229.2572</v>
      </c>
      <c r="V42" s="108"/>
      <c r="W42" s="34">
        <f>RRI(5,P42,U42)</f>
        <v>0.09383877222</v>
      </c>
      <c r="Y42" s="35">
        <f>RRI(4,Q42,U42)</f>
        <v>0.09871536068</v>
      </c>
      <c r="Z42" s="36"/>
      <c r="AA42" s="108"/>
      <c r="AB42" s="108"/>
      <c r="AC42" s="108"/>
      <c r="AD42" s="108"/>
      <c r="AE42" s="108"/>
      <c r="AF42" s="108"/>
      <c r="AG42" s="108"/>
      <c r="AH42" s="108"/>
      <c r="AI42" s="108"/>
      <c r="AJ42" s="108"/>
      <c r="AK42" s="108"/>
      <c r="AL42" s="108"/>
      <c r="AM42" s="108"/>
      <c r="AN42" s="108"/>
      <c r="AO42" s="108"/>
      <c r="AP42" s="108"/>
      <c r="AQ42" s="108"/>
    </row>
    <row r="43" ht="15.75" customHeight="1">
      <c r="A43" s="115"/>
      <c r="B43" s="115"/>
      <c r="C43" s="115" t="s">
        <v>31</v>
      </c>
      <c r="D43" s="117"/>
      <c r="E43" s="117"/>
      <c r="F43" s="117"/>
      <c r="G43" s="117"/>
      <c r="H43" s="117"/>
      <c r="I43" s="117"/>
      <c r="J43" s="145">
        <f t="shared" ref="J43:U43" si="32">J42/J7</f>
        <v>0.1919441466</v>
      </c>
      <c r="K43" s="145">
        <f t="shared" si="32"/>
        <v>0.2119789449</v>
      </c>
      <c r="L43" s="145">
        <f t="shared" si="32"/>
        <v>0.1701141381</v>
      </c>
      <c r="M43" s="145">
        <f t="shared" si="32"/>
        <v>0.1256309623</v>
      </c>
      <c r="N43" s="145">
        <f t="shared" si="32"/>
        <v>0.1354941423</v>
      </c>
      <c r="O43" s="145">
        <f t="shared" si="32"/>
        <v>0.1545558285</v>
      </c>
      <c r="P43" s="145">
        <f t="shared" si="32"/>
        <v>0.1539744687</v>
      </c>
      <c r="Q43" s="145">
        <f t="shared" si="32"/>
        <v>0.1576892267</v>
      </c>
      <c r="R43" s="145">
        <f t="shared" si="32"/>
        <v>0.1616892267</v>
      </c>
      <c r="S43" s="145">
        <f t="shared" si="32"/>
        <v>0.1656892267</v>
      </c>
      <c r="T43" s="145">
        <f t="shared" si="32"/>
        <v>0.1696892267</v>
      </c>
      <c r="U43" s="145">
        <f t="shared" si="32"/>
        <v>0.1736892267</v>
      </c>
      <c r="V43" s="119"/>
      <c r="W43" s="49"/>
      <c r="Y43" s="119"/>
      <c r="Z43" s="120"/>
      <c r="AA43" s="119"/>
      <c r="AB43" s="119"/>
      <c r="AC43" s="119"/>
      <c r="AD43" s="119"/>
      <c r="AE43" s="119"/>
      <c r="AF43" s="119"/>
      <c r="AG43" s="119"/>
      <c r="AH43" s="119"/>
      <c r="AI43" s="119"/>
      <c r="AJ43" s="119"/>
      <c r="AK43" s="119"/>
      <c r="AL43" s="119"/>
      <c r="AM43" s="119"/>
      <c r="AN43" s="119"/>
      <c r="AO43" s="119"/>
      <c r="AP43" s="119"/>
      <c r="AQ43" s="119"/>
    </row>
    <row r="44" ht="15.75" customHeight="1">
      <c r="A44" s="15"/>
      <c r="B44" s="15"/>
      <c r="C44" s="15"/>
      <c r="D44" s="37"/>
      <c r="E44" s="37"/>
      <c r="F44" s="37"/>
      <c r="G44" s="37"/>
      <c r="H44" s="37"/>
      <c r="I44" s="37"/>
      <c r="J44" s="37"/>
      <c r="K44" s="16"/>
      <c r="L44" s="16"/>
      <c r="M44" s="16"/>
      <c r="N44" s="16"/>
      <c r="O44" s="16"/>
      <c r="P44" s="16"/>
      <c r="Q44" s="16"/>
      <c r="R44" s="16"/>
      <c r="S44" s="16"/>
      <c r="T44" s="16"/>
      <c r="U44" s="16"/>
      <c r="W44" s="40"/>
      <c r="Z44" s="42"/>
    </row>
    <row r="45" ht="15.0" customHeight="1">
      <c r="A45" s="140"/>
      <c r="B45" s="140" t="s">
        <v>32</v>
      </c>
      <c r="C45" s="146"/>
      <c r="D45" s="147"/>
      <c r="E45" s="147"/>
      <c r="F45" s="147"/>
      <c r="G45" s="147"/>
      <c r="H45" s="147"/>
      <c r="I45" s="147"/>
      <c r="J45" s="148">
        <f t="shared" ref="J45:U45" si="33">J40</f>
        <v>61606</v>
      </c>
      <c r="K45" s="148">
        <f t="shared" si="33"/>
        <v>95534</v>
      </c>
      <c r="L45" s="148">
        <f t="shared" si="33"/>
        <v>109594</v>
      </c>
      <c r="M45" s="148">
        <f t="shared" si="33"/>
        <v>96497</v>
      </c>
      <c r="N45" s="148">
        <f t="shared" si="33"/>
        <v>107009</v>
      </c>
      <c r="O45" s="148">
        <f t="shared" si="33"/>
        <v>138718</v>
      </c>
      <c r="P45" s="148">
        <f t="shared" si="33"/>
        <v>147710</v>
      </c>
      <c r="Q45" s="148">
        <f t="shared" si="33"/>
        <v>158865.8093</v>
      </c>
      <c r="R45" s="148">
        <f t="shared" si="33"/>
        <v>175371.782</v>
      </c>
      <c r="S45" s="148">
        <f t="shared" si="33"/>
        <v>192597.4014</v>
      </c>
      <c r="T45" s="148">
        <f t="shared" si="33"/>
        <v>211519.6832</v>
      </c>
      <c r="U45" s="148">
        <f t="shared" si="33"/>
        <v>232313.9165</v>
      </c>
      <c r="V45" s="108"/>
      <c r="W45" s="34">
        <f>RRI(5,P45,U45)</f>
        <v>0.09479565636</v>
      </c>
      <c r="Y45" s="35">
        <f>RRI(4,Q45,U45)</f>
        <v>0.09966701089</v>
      </c>
      <c r="Z45" s="36"/>
      <c r="AA45" s="108"/>
      <c r="AB45" s="108"/>
      <c r="AC45" s="108"/>
      <c r="AD45" s="108"/>
      <c r="AE45" s="108"/>
      <c r="AF45" s="108"/>
      <c r="AG45" s="108"/>
      <c r="AH45" s="108"/>
      <c r="AI45" s="108"/>
      <c r="AJ45" s="108"/>
      <c r="AK45" s="108"/>
      <c r="AL45" s="108"/>
      <c r="AM45" s="108"/>
      <c r="AN45" s="108"/>
      <c r="AO45" s="108"/>
      <c r="AP45" s="108"/>
      <c r="AQ45" s="108"/>
    </row>
    <row r="46" ht="15.75" customHeight="1">
      <c r="A46" s="115"/>
      <c r="B46" s="149"/>
      <c r="C46" s="150" t="s">
        <v>31</v>
      </c>
      <c r="D46" s="151"/>
      <c r="E46" s="151"/>
      <c r="F46" s="151"/>
      <c r="G46" s="151"/>
      <c r="H46" s="151"/>
      <c r="I46" s="151"/>
      <c r="J46" s="152">
        <f t="shared" ref="J46:U46" si="34">J45/J7</f>
        <v>0.163478787</v>
      </c>
      <c r="K46" s="152">
        <f t="shared" si="34"/>
        <v>0.1874277777</v>
      </c>
      <c r="L46" s="152">
        <f t="shared" si="34"/>
        <v>0.1527891826</v>
      </c>
      <c r="M46" s="152">
        <f t="shared" si="34"/>
        <v>0.11311839</v>
      </c>
      <c r="N46" s="152">
        <f t="shared" si="34"/>
        <v>0.1231847604</v>
      </c>
      <c r="O46" s="152">
        <f t="shared" si="34"/>
        <v>0.1473892015</v>
      </c>
      <c r="P46" s="152">
        <f t="shared" si="34"/>
        <v>0.148251563</v>
      </c>
      <c r="Q46" s="152">
        <f t="shared" si="34"/>
        <v>0.151966321</v>
      </c>
      <c r="R46" s="152">
        <f t="shared" si="34"/>
        <v>0.155966321</v>
      </c>
      <c r="S46" s="152">
        <f t="shared" si="34"/>
        <v>0.159966321</v>
      </c>
      <c r="T46" s="152">
        <f t="shared" si="34"/>
        <v>0.163966321</v>
      </c>
      <c r="U46" s="152">
        <f t="shared" si="34"/>
        <v>0.167966321</v>
      </c>
      <c r="V46" s="119"/>
      <c r="W46" s="40"/>
      <c r="Y46" s="119"/>
      <c r="Z46" s="120"/>
      <c r="AA46" s="119"/>
      <c r="AB46" s="119"/>
      <c r="AC46" s="119"/>
      <c r="AD46" s="119"/>
      <c r="AE46" s="119"/>
      <c r="AF46" s="119"/>
      <c r="AG46" s="119"/>
      <c r="AH46" s="119"/>
      <c r="AI46" s="119"/>
      <c r="AJ46" s="119"/>
      <c r="AK46" s="119"/>
      <c r="AL46" s="119"/>
      <c r="AM46" s="119"/>
      <c r="AN46" s="119"/>
      <c r="AO46" s="119"/>
      <c r="AP46" s="119"/>
      <c r="AQ46" s="119"/>
    </row>
    <row r="47" ht="15.75" customHeight="1">
      <c r="A47" s="15"/>
      <c r="B47" s="15"/>
      <c r="C47" s="15" t="s">
        <v>11</v>
      </c>
      <c r="D47" s="37"/>
      <c r="E47" s="37"/>
      <c r="F47" s="37"/>
      <c r="G47" s="37"/>
      <c r="H47" s="37"/>
      <c r="I47" s="37"/>
      <c r="J47" s="38"/>
      <c r="K47" s="38">
        <f t="shared" ref="K47:U47" si="35">K45/J45-1</f>
        <v>0.5507255787</v>
      </c>
      <c r="L47" s="38">
        <f t="shared" si="35"/>
        <v>0.1471727343</v>
      </c>
      <c r="M47" s="38">
        <f t="shared" si="35"/>
        <v>-0.1195047174</v>
      </c>
      <c r="N47" s="38">
        <f t="shared" si="35"/>
        <v>0.1089360291</v>
      </c>
      <c r="O47" s="38">
        <f t="shared" si="35"/>
        <v>0.2963208702</v>
      </c>
      <c r="P47" s="38">
        <f t="shared" si="35"/>
        <v>0.06482215718</v>
      </c>
      <c r="Q47" s="38">
        <f t="shared" si="35"/>
        <v>0.07552507789</v>
      </c>
      <c r="R47" s="38">
        <f t="shared" si="35"/>
        <v>0.1038988363</v>
      </c>
      <c r="S47" s="38">
        <f t="shared" si="35"/>
        <v>0.09822343841</v>
      </c>
      <c r="T47" s="38">
        <f t="shared" si="35"/>
        <v>0.09824785651</v>
      </c>
      <c r="U47" s="38">
        <f t="shared" si="35"/>
        <v>0.09830873854</v>
      </c>
      <c r="W47" s="40"/>
      <c r="Z47" s="42"/>
    </row>
    <row r="48" ht="15.75" customHeight="1">
      <c r="A48" s="15"/>
      <c r="B48" s="15"/>
      <c r="C48" s="15"/>
      <c r="D48" s="37"/>
      <c r="E48" s="37"/>
      <c r="F48" s="37"/>
      <c r="G48" s="37"/>
      <c r="H48" s="37"/>
      <c r="I48" s="37"/>
      <c r="J48" s="153"/>
      <c r="K48" s="154"/>
      <c r="L48" s="155"/>
      <c r="M48" s="155"/>
      <c r="N48" s="155"/>
      <c r="O48" s="156"/>
      <c r="P48" s="156"/>
      <c r="Q48" s="156"/>
      <c r="R48" s="156"/>
      <c r="S48" s="156"/>
      <c r="T48" s="156"/>
      <c r="U48" s="156"/>
      <c r="W48" s="40"/>
      <c r="Z48" s="42"/>
    </row>
    <row r="49" ht="15.75" customHeight="1">
      <c r="A49" s="103"/>
      <c r="B49" s="103" t="s">
        <v>33</v>
      </c>
      <c r="C49" s="103"/>
      <c r="D49" s="104"/>
      <c r="E49" s="104"/>
      <c r="F49" s="104"/>
      <c r="G49" s="104"/>
      <c r="H49" s="104"/>
      <c r="I49" s="104"/>
      <c r="J49" s="45">
        <v>-5190.0</v>
      </c>
      <c r="K49" s="45">
        <v>-5180.0</v>
      </c>
      <c r="L49" s="45">
        <v>-4476.0</v>
      </c>
      <c r="M49" s="45">
        <v>-4909.0</v>
      </c>
      <c r="N49" s="45">
        <v>-5918.0</v>
      </c>
      <c r="O49" s="157">
        <v>-7947.0</v>
      </c>
      <c r="P49" s="158">
        <v>-9596.0</v>
      </c>
      <c r="Q49" s="159">
        <f t="shared" ref="Q49:U49" si="36">Q113*Q97</f>
        <v>-9596</v>
      </c>
      <c r="R49" s="159">
        <f t="shared" si="36"/>
        <v>-9596</v>
      </c>
      <c r="S49" s="159">
        <f t="shared" si="36"/>
        <v>-9596</v>
      </c>
      <c r="T49" s="159">
        <f t="shared" si="36"/>
        <v>-9596</v>
      </c>
      <c r="U49" s="159">
        <f t="shared" si="36"/>
        <v>-9596</v>
      </c>
      <c r="V49" s="108"/>
      <c r="W49" s="109"/>
      <c r="Y49" s="108"/>
      <c r="Z49" s="110"/>
      <c r="AA49" s="108"/>
      <c r="AB49" s="108"/>
      <c r="AC49" s="108"/>
      <c r="AD49" s="108"/>
      <c r="AE49" s="108"/>
      <c r="AF49" s="108"/>
      <c r="AG49" s="108"/>
      <c r="AH49" s="108"/>
      <c r="AI49" s="108"/>
      <c r="AJ49" s="108"/>
      <c r="AK49" s="108"/>
      <c r="AL49" s="108"/>
      <c r="AM49" s="108"/>
      <c r="AN49" s="108"/>
      <c r="AO49" s="108"/>
      <c r="AP49" s="108"/>
      <c r="AQ49" s="108"/>
    </row>
    <row r="50" ht="15.75" customHeight="1">
      <c r="A50" s="103"/>
      <c r="B50" s="103" t="s">
        <v>34</v>
      </c>
      <c r="C50" s="103"/>
      <c r="D50" s="104"/>
      <c r="E50" s="104"/>
      <c r="F50" s="104"/>
      <c r="G50" s="104"/>
      <c r="H50" s="104"/>
      <c r="I50" s="104"/>
      <c r="J50" s="45">
        <v>566.0</v>
      </c>
      <c r="K50" s="45">
        <v>-5733.0</v>
      </c>
      <c r="L50" s="160">
        <v>6984.0</v>
      </c>
      <c r="M50" s="161">
        <v>14344.0</v>
      </c>
      <c r="N50" s="160">
        <v>-8063.0</v>
      </c>
      <c r="O50" s="160">
        <v>-7735.0</v>
      </c>
      <c r="P50" s="158">
        <v>5966.0</v>
      </c>
      <c r="Q50" s="159"/>
      <c r="R50" s="159"/>
      <c r="S50" s="159"/>
      <c r="T50" s="159"/>
      <c r="U50" s="159"/>
      <c r="V50" s="108"/>
      <c r="W50" s="109"/>
      <c r="Y50" s="108"/>
      <c r="Z50" s="110"/>
      <c r="AA50" s="108"/>
      <c r="AB50" s="108"/>
      <c r="AC50" s="108"/>
      <c r="AD50" s="108"/>
      <c r="AE50" s="108"/>
      <c r="AF50" s="108"/>
      <c r="AG50" s="108"/>
      <c r="AH50" s="108"/>
      <c r="AI50" s="108"/>
      <c r="AJ50" s="108"/>
      <c r="AK50" s="108"/>
      <c r="AL50" s="108"/>
      <c r="AM50" s="108"/>
      <c r="AN50" s="108"/>
      <c r="AO50" s="108"/>
      <c r="AP50" s="108"/>
      <c r="AQ50" s="108"/>
    </row>
    <row r="51" ht="15.75" customHeight="1">
      <c r="A51" s="103"/>
      <c r="B51" s="103" t="s">
        <v>35</v>
      </c>
      <c r="C51" s="103"/>
      <c r="D51" s="104"/>
      <c r="E51" s="104"/>
      <c r="F51" s="104"/>
      <c r="G51" s="104"/>
      <c r="H51" s="104"/>
      <c r="I51" s="104"/>
      <c r="J51" s="45">
        <v>221.0</v>
      </c>
      <c r="K51" s="45">
        <v>7439.0</v>
      </c>
      <c r="L51" s="160">
        <v>7582.0</v>
      </c>
      <c r="M51" s="161">
        <v>10523.0</v>
      </c>
      <c r="N51" s="160">
        <v>5823.0</v>
      </c>
      <c r="O51" s="160">
        <v>6157.0</v>
      </c>
      <c r="P51" s="162">
        <v>24146.0</v>
      </c>
      <c r="Q51" s="159">
        <f t="shared" ref="Q51:U51" si="37">P102*0.03</f>
        <v>12842.79</v>
      </c>
      <c r="R51" s="159">
        <f t="shared" si="37"/>
        <v>13660.20057</v>
      </c>
      <c r="S51" s="159">
        <f t="shared" si="37"/>
        <v>15016.25905</v>
      </c>
      <c r="T51" s="159">
        <f t="shared" si="37"/>
        <v>16751.38885</v>
      </c>
      <c r="U51" s="159">
        <f t="shared" si="37"/>
        <v>18920.75013</v>
      </c>
      <c r="V51" s="108"/>
      <c r="W51" s="109"/>
      <c r="Y51" s="108"/>
      <c r="Z51" s="110"/>
      <c r="AA51" s="108"/>
      <c r="AB51" s="108"/>
      <c r="AC51" s="108"/>
      <c r="AD51" s="108"/>
      <c r="AE51" s="108"/>
      <c r="AF51" s="108"/>
      <c r="AG51" s="108"/>
      <c r="AH51" s="108"/>
      <c r="AI51" s="108"/>
      <c r="AJ51" s="108"/>
      <c r="AK51" s="108"/>
      <c r="AL51" s="108"/>
      <c r="AM51" s="108"/>
      <c r="AN51" s="108"/>
      <c r="AO51" s="108"/>
      <c r="AP51" s="108"/>
      <c r="AQ51" s="108"/>
    </row>
    <row r="52" ht="15.75" customHeight="1">
      <c r="A52" s="163"/>
      <c r="B52" s="163" t="s">
        <v>36</v>
      </c>
      <c r="C52" s="163"/>
      <c r="D52" s="164"/>
      <c r="E52" s="164"/>
      <c r="F52" s="164"/>
      <c r="G52" s="164"/>
      <c r="H52" s="164"/>
      <c r="I52" s="164"/>
      <c r="J52" s="165">
        <f t="shared" ref="J52:U52" si="38">J45+J49+J51+J50</f>
        <v>57203</v>
      </c>
      <c r="K52" s="165">
        <f t="shared" si="38"/>
        <v>92060</v>
      </c>
      <c r="L52" s="165">
        <f t="shared" si="38"/>
        <v>119684</v>
      </c>
      <c r="M52" s="165">
        <f t="shared" si="38"/>
        <v>116455</v>
      </c>
      <c r="N52" s="165">
        <f t="shared" si="38"/>
        <v>98851</v>
      </c>
      <c r="O52" s="165">
        <f t="shared" si="38"/>
        <v>129193</v>
      </c>
      <c r="P52" s="165">
        <f t="shared" si="38"/>
        <v>168226</v>
      </c>
      <c r="Q52" s="165">
        <f t="shared" si="38"/>
        <v>162112.5993</v>
      </c>
      <c r="R52" s="165">
        <f t="shared" si="38"/>
        <v>179435.9825</v>
      </c>
      <c r="S52" s="165">
        <f t="shared" si="38"/>
        <v>198017.6604</v>
      </c>
      <c r="T52" s="165">
        <f t="shared" si="38"/>
        <v>218675.0721</v>
      </c>
      <c r="U52" s="165">
        <f t="shared" si="38"/>
        <v>241638.6666</v>
      </c>
      <c r="V52" s="108"/>
      <c r="W52" s="34">
        <f>RRI(5,P52,U52)</f>
        <v>0.07511435938</v>
      </c>
      <c r="Y52" s="35">
        <f>RRI(4,Q52,U52)</f>
        <v>0.1049367423</v>
      </c>
      <c r="Z52" s="36"/>
      <c r="AA52" s="108"/>
      <c r="AB52" s="108"/>
      <c r="AC52" s="108"/>
      <c r="AD52" s="108"/>
      <c r="AE52" s="108"/>
      <c r="AF52" s="108"/>
      <c r="AG52" s="108"/>
      <c r="AH52" s="108"/>
      <c r="AI52" s="108"/>
      <c r="AJ52" s="108"/>
      <c r="AK52" s="108"/>
      <c r="AL52" s="108"/>
      <c r="AM52" s="108"/>
      <c r="AN52" s="108"/>
      <c r="AO52" s="108"/>
      <c r="AP52" s="108"/>
      <c r="AQ52" s="108"/>
    </row>
    <row r="53" ht="15.75" customHeight="1">
      <c r="A53" s="103"/>
      <c r="B53" s="103"/>
      <c r="C53" s="103"/>
      <c r="D53" s="104"/>
      <c r="E53" s="104"/>
      <c r="F53" s="104"/>
      <c r="G53" s="104"/>
      <c r="H53" s="104"/>
      <c r="I53" s="104"/>
      <c r="J53" s="107"/>
      <c r="K53" s="107"/>
      <c r="L53" s="107"/>
      <c r="M53" s="107"/>
      <c r="N53" s="107"/>
      <c r="O53" s="107"/>
      <c r="P53" s="107"/>
      <c r="Q53" s="107"/>
      <c r="R53" s="107"/>
      <c r="S53" s="107"/>
      <c r="T53" s="107"/>
      <c r="U53" s="107"/>
      <c r="V53" s="108"/>
      <c r="W53" s="49"/>
      <c r="Y53" s="108"/>
      <c r="Z53" s="110"/>
      <c r="AA53" s="108"/>
      <c r="AB53" s="108"/>
      <c r="AC53" s="108"/>
      <c r="AD53" s="108"/>
      <c r="AE53" s="108"/>
      <c r="AF53" s="108"/>
      <c r="AG53" s="108"/>
      <c r="AH53" s="108"/>
      <c r="AI53" s="108"/>
      <c r="AJ53" s="108"/>
      <c r="AK53" s="108"/>
      <c r="AL53" s="108"/>
      <c r="AM53" s="108"/>
      <c r="AN53" s="108"/>
      <c r="AO53" s="108"/>
      <c r="AP53" s="108"/>
      <c r="AQ53" s="108"/>
    </row>
    <row r="54" ht="15.75" customHeight="1">
      <c r="A54" s="103"/>
      <c r="B54" s="103" t="s">
        <v>37</v>
      </c>
      <c r="C54" s="103"/>
      <c r="D54" s="104"/>
      <c r="E54" s="104"/>
      <c r="F54" s="104"/>
      <c r="G54" s="104"/>
      <c r="H54" s="104"/>
      <c r="I54" s="104"/>
      <c r="J54" s="166">
        <v>-2843.0</v>
      </c>
      <c r="K54" s="166">
        <v>-4104.0</v>
      </c>
      <c r="L54" s="166">
        <v>-1688.0</v>
      </c>
      <c r="M54" s="167">
        <v>-42561.0</v>
      </c>
      <c r="N54" s="167">
        <v>-17729.0</v>
      </c>
      <c r="O54" s="168">
        <v>-35332.0</v>
      </c>
      <c r="P54" s="169">
        <v>-6805.0</v>
      </c>
      <c r="Q54" s="170">
        <f t="shared" ref="Q54:U54" si="39">Q7*Q91</f>
        <v>-7140.039295</v>
      </c>
      <c r="R54" s="170">
        <f t="shared" si="39"/>
        <v>-7679.737913</v>
      </c>
      <c r="S54" s="170">
        <f t="shared" si="39"/>
        <v>-8223.17208</v>
      </c>
      <c r="T54" s="170">
        <f t="shared" si="39"/>
        <v>-8810.765596</v>
      </c>
      <c r="U54" s="170">
        <f t="shared" si="39"/>
        <v>-9446.491295</v>
      </c>
      <c r="V54" s="170"/>
      <c r="W54" s="49"/>
      <c r="Y54" s="108"/>
      <c r="Z54" s="110"/>
      <c r="AA54" s="108"/>
      <c r="AB54" s="108"/>
      <c r="AC54" s="108"/>
      <c r="AD54" s="108"/>
      <c r="AE54" s="108"/>
      <c r="AF54" s="108"/>
      <c r="AG54" s="108"/>
      <c r="AH54" s="108"/>
      <c r="AI54" s="108"/>
      <c r="AJ54" s="108"/>
      <c r="AK54" s="108"/>
      <c r="AL54" s="108"/>
      <c r="AM54" s="108"/>
      <c r="AN54" s="108"/>
      <c r="AO54" s="108"/>
      <c r="AP54" s="108"/>
      <c r="AQ54" s="108"/>
    </row>
    <row r="55" ht="15.75" customHeight="1">
      <c r="A55" s="163"/>
      <c r="B55" s="163" t="s">
        <v>38</v>
      </c>
      <c r="C55" s="163"/>
      <c r="D55" s="164"/>
      <c r="E55" s="164"/>
      <c r="F55" s="164"/>
      <c r="G55" s="164"/>
      <c r="H55" s="164"/>
      <c r="I55" s="164"/>
      <c r="J55" s="165">
        <f t="shared" ref="J55:U55" si="40">J52+J54</f>
        <v>54360</v>
      </c>
      <c r="K55" s="165">
        <f t="shared" si="40"/>
        <v>87956</v>
      </c>
      <c r="L55" s="165">
        <f t="shared" si="40"/>
        <v>117996</v>
      </c>
      <c r="M55" s="165">
        <f t="shared" si="40"/>
        <v>73894</v>
      </c>
      <c r="N55" s="165">
        <f t="shared" si="40"/>
        <v>81122</v>
      </c>
      <c r="O55" s="165">
        <f t="shared" si="40"/>
        <v>93861</v>
      </c>
      <c r="P55" s="165">
        <f t="shared" si="40"/>
        <v>161421</v>
      </c>
      <c r="Q55" s="165">
        <f t="shared" si="40"/>
        <v>154972.56</v>
      </c>
      <c r="R55" s="165">
        <f t="shared" si="40"/>
        <v>171756.2446</v>
      </c>
      <c r="S55" s="165">
        <f t="shared" si="40"/>
        <v>189794.4884</v>
      </c>
      <c r="T55" s="165">
        <f t="shared" si="40"/>
        <v>209864.3065</v>
      </c>
      <c r="U55" s="165">
        <f t="shared" si="40"/>
        <v>232192.1753</v>
      </c>
      <c r="V55" s="108"/>
      <c r="W55" s="34">
        <f>RRI(5,P55,U55)</f>
        <v>0.07541851528</v>
      </c>
      <c r="Y55" s="35">
        <f>RRI(4,Q55,U55)</f>
        <v>0.1063644012</v>
      </c>
      <c r="Z55" s="36"/>
      <c r="AA55" s="108"/>
      <c r="AB55" s="108"/>
      <c r="AC55" s="108"/>
      <c r="AD55" s="108"/>
      <c r="AE55" s="108"/>
      <c r="AF55" s="108"/>
      <c r="AG55" s="108"/>
      <c r="AH55" s="108"/>
      <c r="AI55" s="108"/>
      <c r="AJ55" s="108"/>
      <c r="AK55" s="108"/>
      <c r="AL55" s="108"/>
      <c r="AM55" s="108"/>
      <c r="AN55" s="108"/>
      <c r="AO55" s="108"/>
      <c r="AP55" s="108"/>
      <c r="AQ55" s="108"/>
    </row>
    <row r="56" ht="15.75" customHeight="1">
      <c r="A56" s="103"/>
      <c r="B56" s="103"/>
      <c r="C56" s="103"/>
      <c r="D56" s="104"/>
      <c r="E56" s="104"/>
      <c r="F56" s="104"/>
      <c r="G56" s="104"/>
      <c r="H56" s="104"/>
      <c r="I56" s="104"/>
      <c r="J56" s="107"/>
      <c r="K56" s="107"/>
      <c r="L56" s="107"/>
      <c r="M56" s="107"/>
      <c r="N56" s="107"/>
      <c r="O56" s="107"/>
      <c r="P56" s="107"/>
      <c r="Q56" s="107"/>
      <c r="R56" s="107"/>
      <c r="S56" s="107"/>
      <c r="T56" s="107"/>
      <c r="U56" s="107"/>
      <c r="V56" s="108"/>
      <c r="W56" s="49"/>
      <c r="Y56" s="108"/>
      <c r="Z56" s="110"/>
      <c r="AA56" s="108"/>
      <c r="AB56" s="108"/>
      <c r="AC56" s="108"/>
      <c r="AD56" s="108"/>
      <c r="AE56" s="108"/>
      <c r="AF56" s="108"/>
      <c r="AG56" s="108"/>
      <c r="AH56" s="108"/>
      <c r="AI56" s="108"/>
      <c r="AJ56" s="108"/>
      <c r="AK56" s="108"/>
      <c r="AL56" s="108"/>
      <c r="AM56" s="108"/>
      <c r="AN56" s="108"/>
      <c r="AO56" s="108"/>
      <c r="AP56" s="108"/>
      <c r="AQ56" s="108"/>
    </row>
    <row r="57" ht="15.75" customHeight="1">
      <c r="A57" s="171"/>
      <c r="B57" s="171" t="s">
        <v>39</v>
      </c>
      <c r="C57" s="171"/>
      <c r="D57" s="172"/>
      <c r="E57" s="172"/>
      <c r="F57" s="172"/>
      <c r="G57" s="172"/>
      <c r="H57" s="172"/>
      <c r="I57" s="172"/>
      <c r="J57" s="46">
        <v>-16553.0</v>
      </c>
      <c r="K57" s="46">
        <v>-20562.0</v>
      </c>
      <c r="L57" s="46">
        <v>-29278.0</v>
      </c>
      <c r="M57" s="46">
        <v>-26815.0</v>
      </c>
      <c r="N57" s="46">
        <v>-15549.0</v>
      </c>
      <c r="O57" s="173">
        <v>-22529.0</v>
      </c>
      <c r="P57" s="174">
        <v>-35445.0</v>
      </c>
      <c r="Q57" s="170">
        <f t="shared" ref="Q57:U57" si="41">Q55*Q92</f>
        <v>-34029.04447</v>
      </c>
      <c r="R57" s="170">
        <f t="shared" si="41"/>
        <v>-37714.42434</v>
      </c>
      <c r="S57" s="170">
        <f t="shared" si="41"/>
        <v>-41675.28165</v>
      </c>
      <c r="T57" s="170">
        <f t="shared" si="41"/>
        <v>-46082.23431</v>
      </c>
      <c r="U57" s="170">
        <f t="shared" si="41"/>
        <v>-50985.0122</v>
      </c>
      <c r="V57" s="108"/>
      <c r="W57" s="49"/>
      <c r="Y57" s="108"/>
      <c r="Z57" s="110"/>
      <c r="AA57" s="108"/>
      <c r="AB57" s="108"/>
      <c r="AC57" s="108"/>
      <c r="AD57" s="108"/>
      <c r="AE57" s="108"/>
      <c r="AF57" s="108"/>
      <c r="AG57" s="108"/>
      <c r="AH57" s="108"/>
      <c r="AI57" s="108"/>
      <c r="AJ57" s="108"/>
      <c r="AK57" s="108"/>
      <c r="AL57" s="108"/>
      <c r="AM57" s="108"/>
      <c r="AN57" s="108"/>
      <c r="AO57" s="108"/>
      <c r="AP57" s="108"/>
      <c r="AQ57" s="108"/>
    </row>
    <row r="58" ht="15.75" customHeight="1">
      <c r="A58" s="163"/>
      <c r="B58" s="163" t="s">
        <v>40</v>
      </c>
      <c r="C58" s="163"/>
      <c r="D58" s="164"/>
      <c r="E58" s="164"/>
      <c r="F58" s="164"/>
      <c r="G58" s="164"/>
      <c r="H58" s="164"/>
      <c r="I58" s="164"/>
      <c r="J58" s="165">
        <f t="shared" ref="J58:U58" si="42">J55+J57</f>
        <v>37807</v>
      </c>
      <c r="K58" s="165">
        <f t="shared" si="42"/>
        <v>67394</v>
      </c>
      <c r="L58" s="165">
        <f t="shared" si="42"/>
        <v>88718</v>
      </c>
      <c r="M58" s="165">
        <f t="shared" si="42"/>
        <v>47079</v>
      </c>
      <c r="N58" s="165">
        <f t="shared" si="42"/>
        <v>65573</v>
      </c>
      <c r="O58" s="165">
        <f t="shared" si="42"/>
        <v>71332</v>
      </c>
      <c r="P58" s="165">
        <f t="shared" si="42"/>
        <v>125976</v>
      </c>
      <c r="Q58" s="165">
        <f t="shared" si="42"/>
        <v>120943.5155</v>
      </c>
      <c r="R58" s="165">
        <f t="shared" si="42"/>
        <v>134041.8203</v>
      </c>
      <c r="S58" s="165">
        <f t="shared" si="42"/>
        <v>148119.2067</v>
      </c>
      <c r="T58" s="165">
        <f t="shared" si="42"/>
        <v>163782.0722</v>
      </c>
      <c r="U58" s="165">
        <f t="shared" si="42"/>
        <v>181207.1631</v>
      </c>
      <c r="V58" s="108"/>
      <c r="W58" s="34">
        <f>RRI(5,P58,U58)</f>
        <v>0.07541851528</v>
      </c>
      <c r="Y58" s="35">
        <f>RRI(4,Q58,U58)</f>
        <v>0.1063644012</v>
      </c>
      <c r="Z58" s="36"/>
      <c r="AA58" s="108"/>
      <c r="AB58" s="108"/>
      <c r="AC58" s="108"/>
      <c r="AD58" s="108"/>
      <c r="AE58" s="108"/>
      <c r="AF58" s="108"/>
      <c r="AG58" s="108"/>
      <c r="AH58" s="108"/>
      <c r="AI58" s="108"/>
      <c r="AJ58" s="108"/>
      <c r="AK58" s="108"/>
      <c r="AL58" s="108"/>
      <c r="AM58" s="108"/>
      <c r="AN58" s="108"/>
      <c r="AO58" s="108"/>
      <c r="AP58" s="108"/>
      <c r="AQ58" s="108"/>
    </row>
    <row r="59" ht="15.75" customHeight="1">
      <c r="A59" s="15"/>
      <c r="B59" s="15"/>
      <c r="C59" s="15"/>
      <c r="D59" s="37"/>
      <c r="E59" s="37"/>
      <c r="F59" s="37"/>
      <c r="G59" s="37"/>
      <c r="H59" s="37"/>
      <c r="I59" s="37"/>
      <c r="J59" s="16"/>
      <c r="K59" s="16"/>
      <c r="L59" s="16"/>
      <c r="M59" s="16"/>
      <c r="N59" s="16"/>
      <c r="O59" s="16"/>
      <c r="P59" s="16"/>
      <c r="Q59" s="16"/>
      <c r="R59" s="16"/>
      <c r="S59" s="16"/>
      <c r="T59" s="16"/>
      <c r="U59" s="16"/>
      <c r="W59" s="49"/>
      <c r="Z59" s="42"/>
    </row>
    <row r="60" ht="15.75" customHeight="1">
      <c r="A60" s="15"/>
      <c r="B60" s="15" t="s">
        <v>41</v>
      </c>
      <c r="C60" s="15"/>
      <c r="D60" s="37"/>
      <c r="E60" s="37"/>
      <c r="F60" s="37"/>
      <c r="G60" s="37"/>
      <c r="H60" s="37"/>
      <c r="I60" s="37"/>
      <c r="J60" s="153"/>
      <c r="K60" s="153"/>
      <c r="L60" s="153"/>
      <c r="M60" s="153"/>
      <c r="N60" s="153"/>
      <c r="O60" s="153"/>
      <c r="P60" s="153"/>
      <c r="Q60" s="153"/>
      <c r="R60" s="153"/>
      <c r="S60" s="153"/>
      <c r="T60" s="153"/>
      <c r="U60" s="153"/>
      <c r="W60" s="49"/>
      <c r="Z60" s="42"/>
    </row>
    <row r="61" ht="15.75" customHeight="1">
      <c r="A61" s="15"/>
      <c r="B61" s="15" t="s">
        <v>42</v>
      </c>
      <c r="C61" s="15"/>
      <c r="D61" s="37"/>
      <c r="E61" s="37"/>
      <c r="F61" s="37"/>
      <c r="G61" s="37"/>
      <c r="H61" s="37"/>
      <c r="I61" s="37"/>
      <c r="J61" s="153"/>
      <c r="K61" s="175"/>
      <c r="L61" s="175"/>
      <c r="M61" s="175"/>
      <c r="N61" s="175"/>
      <c r="O61" s="175"/>
      <c r="P61" s="175"/>
      <c r="Q61" s="175"/>
      <c r="R61" s="175"/>
      <c r="S61" s="175"/>
      <c r="T61" s="175"/>
      <c r="U61" s="175"/>
      <c r="W61" s="49"/>
      <c r="Z61" s="42"/>
    </row>
    <row r="62" ht="15.75" customHeight="1">
      <c r="A62" s="69"/>
      <c r="B62" s="69" t="s">
        <v>43</v>
      </c>
      <c r="C62" s="69"/>
      <c r="D62" s="138"/>
      <c r="E62" s="138"/>
      <c r="F62" s="138"/>
      <c r="G62" s="138"/>
      <c r="H62" s="138"/>
      <c r="I62" s="138"/>
      <c r="J62" s="73">
        <f t="shared" ref="J62:U62" si="43">J58+J60+J61</f>
        <v>37807</v>
      </c>
      <c r="K62" s="73">
        <f t="shared" si="43"/>
        <v>67394</v>
      </c>
      <c r="L62" s="73">
        <f t="shared" si="43"/>
        <v>88718</v>
      </c>
      <c r="M62" s="73">
        <f t="shared" si="43"/>
        <v>47079</v>
      </c>
      <c r="N62" s="73">
        <f t="shared" si="43"/>
        <v>65573</v>
      </c>
      <c r="O62" s="73">
        <f t="shared" si="43"/>
        <v>71332</v>
      </c>
      <c r="P62" s="73">
        <f t="shared" si="43"/>
        <v>125976</v>
      </c>
      <c r="Q62" s="73">
        <f t="shared" si="43"/>
        <v>120943.5155</v>
      </c>
      <c r="R62" s="73">
        <f t="shared" si="43"/>
        <v>134041.8203</v>
      </c>
      <c r="S62" s="73">
        <f t="shared" si="43"/>
        <v>148119.2067</v>
      </c>
      <c r="T62" s="73">
        <f t="shared" si="43"/>
        <v>163782.0722</v>
      </c>
      <c r="U62" s="73">
        <f t="shared" si="43"/>
        <v>181207.1631</v>
      </c>
      <c r="V62" s="176"/>
      <c r="W62" s="34">
        <f>RRI(5,P62,U62)</f>
        <v>0.07541851528</v>
      </c>
      <c r="Y62" s="35">
        <f>RRI(4,Q62,U62)</f>
        <v>0.1063644012</v>
      </c>
      <c r="Z62" s="36"/>
      <c r="AA62" s="176"/>
      <c r="AB62" s="176"/>
      <c r="AC62" s="176"/>
      <c r="AD62" s="176"/>
      <c r="AE62" s="176"/>
      <c r="AF62" s="176"/>
      <c r="AG62" s="176"/>
      <c r="AH62" s="176"/>
      <c r="AI62" s="176"/>
      <c r="AJ62" s="176"/>
      <c r="AK62" s="176"/>
      <c r="AL62" s="176"/>
      <c r="AM62" s="176"/>
      <c r="AN62" s="176"/>
      <c r="AO62" s="176"/>
      <c r="AP62" s="176"/>
      <c r="AQ62" s="176"/>
    </row>
    <row r="63" ht="15.75" customHeight="1">
      <c r="A63" s="15"/>
      <c r="B63" s="15"/>
      <c r="C63" s="15" t="s">
        <v>44</v>
      </c>
      <c r="D63" s="37"/>
      <c r="E63" s="37"/>
      <c r="F63" s="37"/>
      <c r="G63" s="37"/>
      <c r="H63" s="37"/>
      <c r="I63" s="37"/>
      <c r="J63" s="16"/>
      <c r="K63" s="38">
        <f t="shared" ref="K63:U63" si="44">K62/J62-1</f>
        <v>0.7825799455</v>
      </c>
      <c r="L63" s="38">
        <f t="shared" si="44"/>
        <v>0.3164079888</v>
      </c>
      <c r="M63" s="38">
        <f t="shared" si="44"/>
        <v>-0.4693410582</v>
      </c>
      <c r="N63" s="38">
        <f t="shared" si="44"/>
        <v>0.3928290745</v>
      </c>
      <c r="O63" s="38">
        <f t="shared" si="44"/>
        <v>0.08782578195</v>
      </c>
      <c r="P63" s="38">
        <f t="shared" si="44"/>
        <v>0.7660517019</v>
      </c>
      <c r="Q63" s="38">
        <f t="shared" si="44"/>
        <v>-0.03994796241</v>
      </c>
      <c r="R63" s="38">
        <f t="shared" si="44"/>
        <v>0.1083010093</v>
      </c>
      <c r="S63" s="38">
        <f t="shared" si="44"/>
        <v>0.1050223459</v>
      </c>
      <c r="T63" s="38">
        <f t="shared" si="44"/>
        <v>0.1057449998</v>
      </c>
      <c r="U63" s="38">
        <f t="shared" si="44"/>
        <v>0.106391931</v>
      </c>
      <c r="W63" s="49"/>
      <c r="Z63" s="42"/>
    </row>
    <row r="64" ht="15.75" customHeight="1">
      <c r="A64" s="15"/>
      <c r="B64" s="15"/>
      <c r="C64" s="15" t="s">
        <v>45</v>
      </c>
      <c r="D64" s="37"/>
      <c r="E64" s="37"/>
      <c r="F64" s="37"/>
      <c r="G64" s="37"/>
      <c r="H64" s="37"/>
      <c r="I64" s="37"/>
      <c r="J64" s="16"/>
      <c r="K64" s="38">
        <f t="shared" ref="K64:U64" si="45">K62/K7</f>
        <v>0.1322200227</v>
      </c>
      <c r="L64" s="38">
        <f t="shared" si="45"/>
        <v>0.1236851534</v>
      </c>
      <c r="M64" s="38">
        <f t="shared" si="45"/>
        <v>0.05518825126</v>
      </c>
      <c r="N64" s="38">
        <f t="shared" si="45"/>
        <v>0.07548518626</v>
      </c>
      <c r="O64" s="38">
        <f t="shared" si="45"/>
        <v>0.07579093212</v>
      </c>
      <c r="P64" s="38">
        <f t="shared" si="45"/>
        <v>0.1264378776</v>
      </c>
      <c r="Q64" s="38">
        <f t="shared" si="45"/>
        <v>0.1156909796</v>
      </c>
      <c r="R64" s="38">
        <f t="shared" si="45"/>
        <v>0.1192096547</v>
      </c>
      <c r="S64" s="38">
        <f t="shared" si="45"/>
        <v>0.1230239058</v>
      </c>
      <c r="T64" s="38">
        <f t="shared" si="45"/>
        <v>0.1269609684</v>
      </c>
      <c r="U64" s="38">
        <f t="shared" si="45"/>
        <v>0.1310153993</v>
      </c>
      <c r="W64" s="40"/>
      <c r="Z64" s="42"/>
    </row>
    <row r="65" ht="15.75" customHeight="1">
      <c r="A65" s="171"/>
      <c r="B65" s="171" t="s">
        <v>46</v>
      </c>
      <c r="C65" s="171"/>
      <c r="D65" s="172"/>
      <c r="E65" s="172"/>
      <c r="F65" s="172"/>
      <c r="G65" s="172"/>
      <c r="H65" s="172"/>
      <c r="I65" s="172"/>
      <c r="J65" s="177">
        <v>7652.0</v>
      </c>
      <c r="K65" s="177">
        <v>9083.0</v>
      </c>
      <c r="L65" s="177">
        <v>7294.0</v>
      </c>
      <c r="M65" s="168">
        <v>15170.0</v>
      </c>
      <c r="N65" s="177">
        <v>7210.0</v>
      </c>
      <c r="O65" s="177">
        <v>8677.0</v>
      </c>
      <c r="P65" s="178">
        <v>4133.0</v>
      </c>
      <c r="Q65" s="170">
        <f t="shared" ref="Q65:U65" si="46">Q62*Q94</f>
        <v>3967.895071</v>
      </c>
      <c r="R65" s="170">
        <f t="shared" si="46"/>
        <v>4397.622113</v>
      </c>
      <c r="S65" s="170">
        <f t="shared" si="46"/>
        <v>4859.470703</v>
      </c>
      <c r="T65" s="170">
        <f t="shared" si="46"/>
        <v>5373.335432</v>
      </c>
      <c r="U65" s="170">
        <f t="shared" si="46"/>
        <v>5945.014964</v>
      </c>
      <c r="V65" s="108"/>
      <c r="W65" s="40"/>
      <c r="Y65" s="108"/>
      <c r="Z65" s="110"/>
      <c r="AA65" s="108"/>
      <c r="AB65" s="108"/>
      <c r="AC65" s="108"/>
      <c r="AD65" s="108"/>
      <c r="AE65" s="108"/>
      <c r="AF65" s="108"/>
      <c r="AG65" s="108"/>
      <c r="AH65" s="108"/>
      <c r="AI65" s="108"/>
      <c r="AJ65" s="108"/>
      <c r="AK65" s="108"/>
      <c r="AL65" s="108"/>
      <c r="AM65" s="108"/>
      <c r="AN65" s="108"/>
      <c r="AO65" s="108"/>
      <c r="AP65" s="108"/>
      <c r="AQ65" s="108"/>
    </row>
    <row r="66" ht="15.75" customHeight="1">
      <c r="A66" s="28"/>
      <c r="B66" s="28" t="s">
        <v>47</v>
      </c>
      <c r="C66" s="28"/>
      <c r="D66" s="29"/>
      <c r="E66" s="29"/>
      <c r="F66" s="29"/>
      <c r="G66" s="29"/>
      <c r="H66" s="29"/>
      <c r="I66" s="29"/>
      <c r="J66" s="32">
        <f t="shared" ref="J66:U66" si="47">J62+J65</f>
        <v>45459</v>
      </c>
      <c r="K66" s="32">
        <f t="shared" si="47"/>
        <v>76477</v>
      </c>
      <c r="L66" s="32">
        <f t="shared" si="47"/>
        <v>96012</v>
      </c>
      <c r="M66" s="32">
        <f t="shared" si="47"/>
        <v>62249</v>
      </c>
      <c r="N66" s="32">
        <f t="shared" si="47"/>
        <v>72783</v>
      </c>
      <c r="O66" s="32">
        <f t="shared" si="47"/>
        <v>80009</v>
      </c>
      <c r="P66" s="32">
        <f t="shared" si="47"/>
        <v>130109</v>
      </c>
      <c r="Q66" s="32">
        <f t="shared" si="47"/>
        <v>124911.4106</v>
      </c>
      <c r="R66" s="32">
        <f t="shared" si="47"/>
        <v>138439.4424</v>
      </c>
      <c r="S66" s="32">
        <f t="shared" si="47"/>
        <v>152978.6774</v>
      </c>
      <c r="T66" s="32">
        <f t="shared" si="47"/>
        <v>169155.4076</v>
      </c>
      <c r="U66" s="32">
        <f t="shared" si="47"/>
        <v>187152.1781</v>
      </c>
      <c r="V66" s="179"/>
      <c r="W66" s="34">
        <f>RRI(5,P66,U66)</f>
        <v>0.07541851528</v>
      </c>
      <c r="Y66" s="35">
        <f>RRI(4,Q66,U66)</f>
        <v>0.1063644012</v>
      </c>
      <c r="Z66" s="36"/>
      <c r="AA66" s="179"/>
      <c r="AB66" s="179"/>
      <c r="AC66" s="179"/>
      <c r="AD66" s="179"/>
      <c r="AE66" s="179"/>
      <c r="AF66" s="179"/>
      <c r="AG66" s="179"/>
      <c r="AH66" s="179"/>
      <c r="AI66" s="179"/>
      <c r="AJ66" s="179"/>
      <c r="AK66" s="179"/>
      <c r="AL66" s="179"/>
      <c r="AM66" s="179"/>
      <c r="AN66" s="179"/>
      <c r="AO66" s="179"/>
      <c r="AP66" s="179"/>
      <c r="AQ66" s="179"/>
    </row>
    <row r="67" ht="15.75" customHeight="1">
      <c r="A67" s="15"/>
      <c r="B67" s="15"/>
      <c r="C67" s="15" t="s">
        <v>45</v>
      </c>
      <c r="D67" s="37"/>
      <c r="E67" s="37"/>
      <c r="F67" s="37"/>
      <c r="G67" s="37"/>
      <c r="H67" s="37"/>
      <c r="I67" s="37"/>
      <c r="J67" s="38">
        <f t="shared" ref="J67:U67" si="48">J66/J7</f>
        <v>0.1206308181</v>
      </c>
      <c r="K67" s="38">
        <f t="shared" si="48"/>
        <v>0.1500399246</v>
      </c>
      <c r="L67" s="38">
        <f t="shared" si="48"/>
        <v>0.1338539975</v>
      </c>
      <c r="M67" s="38">
        <f t="shared" si="48"/>
        <v>0.07297124945</v>
      </c>
      <c r="N67" s="38">
        <f t="shared" si="48"/>
        <v>0.08378506873</v>
      </c>
      <c r="O67" s="38">
        <f t="shared" si="48"/>
        <v>0.08501032759</v>
      </c>
      <c r="P67" s="38">
        <f t="shared" si="48"/>
        <v>0.1305860308</v>
      </c>
      <c r="Q67" s="38">
        <f t="shared" si="48"/>
        <v>0.1194865503</v>
      </c>
      <c r="R67" s="38">
        <f t="shared" si="48"/>
        <v>0.1231206655</v>
      </c>
      <c r="S67" s="38">
        <f t="shared" si="48"/>
        <v>0.127060054</v>
      </c>
      <c r="T67" s="38">
        <f t="shared" si="48"/>
        <v>0.1311262831</v>
      </c>
      <c r="U67" s="38">
        <f t="shared" si="48"/>
        <v>0.135313731</v>
      </c>
      <c r="W67" s="40"/>
      <c r="Z67" s="42"/>
    </row>
    <row r="68" ht="15.75" customHeight="1">
      <c r="A68" s="15"/>
      <c r="B68" s="15" t="s">
        <v>48</v>
      </c>
      <c r="C68" s="15"/>
      <c r="D68" s="37"/>
      <c r="E68" s="37"/>
      <c r="F68" s="37"/>
      <c r="G68" s="37"/>
      <c r="H68" s="37"/>
      <c r="I68" s="37"/>
      <c r="J68" s="45">
        <v>2580.0</v>
      </c>
      <c r="K68" s="45">
        <v>2627.13</v>
      </c>
      <c r="L68" s="45">
        <v>2702.38</v>
      </c>
      <c r="M68" s="45">
        <v>2694.75</v>
      </c>
      <c r="N68" s="45">
        <v>2622.5</v>
      </c>
      <c r="O68" s="180">
        <v>2522.75</v>
      </c>
      <c r="P68" s="181">
        <v>2348.88</v>
      </c>
      <c r="Q68" s="182">
        <f t="shared" ref="Q68:U68" si="49">P68+Q234</f>
        <v>2240.5525</v>
      </c>
      <c r="R68" s="182">
        <f t="shared" si="49"/>
        <v>2150.279583</v>
      </c>
      <c r="S68" s="182">
        <f t="shared" si="49"/>
        <v>2072.902798</v>
      </c>
      <c r="T68" s="182">
        <f t="shared" si="49"/>
        <v>2005.19811</v>
      </c>
      <c r="U68" s="182">
        <f t="shared" si="49"/>
        <v>1945.016166</v>
      </c>
      <c r="W68" s="40"/>
      <c r="Z68" s="42"/>
    </row>
    <row r="69" ht="15.75" customHeight="1">
      <c r="A69" s="15"/>
      <c r="B69" s="15" t="s">
        <v>49</v>
      </c>
      <c r="C69" s="15"/>
      <c r="D69" s="37"/>
      <c r="E69" s="37"/>
      <c r="F69" s="37"/>
      <c r="G69" s="37"/>
      <c r="H69" s="37"/>
      <c r="I69" s="37"/>
      <c r="J69" s="45">
        <v>2623.5</v>
      </c>
      <c r="K69" s="45">
        <v>2668.25</v>
      </c>
      <c r="L69" s="45">
        <v>2747.75</v>
      </c>
      <c r="M69" s="45">
        <v>2723.38</v>
      </c>
      <c r="N69" s="45">
        <v>2639.25</v>
      </c>
      <c r="O69" s="180">
        <v>2544.88</v>
      </c>
      <c r="P69" s="181">
        <v>2414.75</v>
      </c>
      <c r="Q69" s="182">
        <f t="shared" ref="Q69:U69" si="50">P69+Q234</f>
        <v>2306.4225</v>
      </c>
      <c r="R69" s="182">
        <f t="shared" si="50"/>
        <v>2216.149583</v>
      </c>
      <c r="S69" s="182">
        <f t="shared" si="50"/>
        <v>2138.772798</v>
      </c>
      <c r="T69" s="182">
        <f t="shared" si="50"/>
        <v>2071.06811</v>
      </c>
      <c r="U69" s="182">
        <f t="shared" si="50"/>
        <v>2010.886166</v>
      </c>
      <c r="W69" s="40"/>
      <c r="Z69" s="42"/>
    </row>
    <row r="70" ht="15.75" customHeight="1">
      <c r="A70" s="15"/>
      <c r="B70" s="15"/>
      <c r="C70" s="15"/>
      <c r="D70" s="37"/>
      <c r="E70" s="37"/>
      <c r="F70" s="37"/>
      <c r="G70" s="37"/>
      <c r="H70" s="37"/>
      <c r="I70" s="37"/>
      <c r="J70" s="16"/>
      <c r="K70" s="16"/>
      <c r="L70" s="16"/>
      <c r="M70" s="16"/>
      <c r="N70" s="16"/>
      <c r="O70" s="16"/>
      <c r="P70" s="16"/>
      <c r="Q70" s="16"/>
      <c r="R70" s="16"/>
      <c r="S70" s="16"/>
      <c r="T70" s="16"/>
      <c r="U70" s="16"/>
      <c r="W70" s="40"/>
      <c r="Z70" s="42"/>
    </row>
    <row r="71" ht="15.75" customHeight="1">
      <c r="A71" s="103"/>
      <c r="B71" s="103" t="s">
        <v>50</v>
      </c>
      <c r="C71" s="103"/>
      <c r="D71" s="104"/>
      <c r="E71" s="104"/>
      <c r="F71" s="104"/>
      <c r="G71" s="104"/>
      <c r="H71" s="104"/>
      <c r="I71" s="104"/>
      <c r="J71" s="107"/>
      <c r="K71" s="107">
        <f t="shared" ref="K71:U71" si="51">K66/K68</f>
        <v>29.11047417</v>
      </c>
      <c r="L71" s="107">
        <f t="shared" si="51"/>
        <v>35.52868212</v>
      </c>
      <c r="M71" s="107">
        <f t="shared" si="51"/>
        <v>23.10010205</v>
      </c>
      <c r="N71" s="107">
        <f t="shared" si="51"/>
        <v>27.75328885</v>
      </c>
      <c r="O71" s="107">
        <f t="shared" si="51"/>
        <v>31.71499356</v>
      </c>
      <c r="P71" s="107">
        <f t="shared" si="51"/>
        <v>55.39193147</v>
      </c>
      <c r="Q71" s="107">
        <f t="shared" si="51"/>
        <v>55.75027167</v>
      </c>
      <c r="R71" s="107">
        <f t="shared" si="51"/>
        <v>64.38206616</v>
      </c>
      <c r="S71" s="107">
        <f t="shared" si="51"/>
        <v>73.79925271</v>
      </c>
      <c r="T71" s="107">
        <f t="shared" si="51"/>
        <v>84.35845155</v>
      </c>
      <c r="U71" s="107">
        <f t="shared" si="51"/>
        <v>96.22139979</v>
      </c>
      <c r="V71" s="108"/>
      <c r="W71" s="34">
        <f t="shared" ref="W71:W72" si="53">RRI(5,P71,U71)</f>
        <v>0.116773326</v>
      </c>
      <c r="Y71" s="35">
        <f t="shared" ref="Y71:Y72" si="54">RRI(4,Q71,U71)</f>
        <v>0.1461888269</v>
      </c>
      <c r="Z71" s="36"/>
      <c r="AA71" s="108"/>
      <c r="AB71" s="108"/>
      <c r="AC71" s="108"/>
      <c r="AD71" s="108"/>
      <c r="AE71" s="108"/>
      <c r="AF71" s="108"/>
      <c r="AG71" s="108"/>
      <c r="AH71" s="108"/>
      <c r="AI71" s="108"/>
      <c r="AJ71" s="108"/>
      <c r="AK71" s="108"/>
      <c r="AL71" s="108"/>
      <c r="AM71" s="108"/>
      <c r="AN71" s="108"/>
      <c r="AO71" s="108"/>
      <c r="AP71" s="108"/>
      <c r="AQ71" s="108"/>
    </row>
    <row r="72" ht="15.75" customHeight="1">
      <c r="A72" s="163"/>
      <c r="B72" s="163" t="s">
        <v>51</v>
      </c>
      <c r="C72" s="163"/>
      <c r="D72" s="164"/>
      <c r="E72" s="164"/>
      <c r="F72" s="164"/>
      <c r="G72" s="164"/>
      <c r="H72" s="164"/>
      <c r="I72" s="164"/>
      <c r="J72" s="165"/>
      <c r="K72" s="165">
        <f t="shared" ref="K72:U72" si="52">K66/K69</f>
        <v>28.66185702</v>
      </c>
      <c r="L72" s="165">
        <f t="shared" si="52"/>
        <v>34.94204349</v>
      </c>
      <c r="M72" s="165">
        <f t="shared" si="52"/>
        <v>22.85725826</v>
      </c>
      <c r="N72" s="165">
        <f t="shared" si="52"/>
        <v>27.5771526</v>
      </c>
      <c r="O72" s="165">
        <f t="shared" si="52"/>
        <v>31.43920342</v>
      </c>
      <c r="P72" s="165">
        <f t="shared" si="52"/>
        <v>53.88094006</v>
      </c>
      <c r="Q72" s="165">
        <f t="shared" si="52"/>
        <v>54.15807839</v>
      </c>
      <c r="R72" s="165">
        <f t="shared" si="52"/>
        <v>62.46845585</v>
      </c>
      <c r="S72" s="165">
        <f t="shared" si="52"/>
        <v>71.52638073</v>
      </c>
      <c r="T72" s="165">
        <f t="shared" si="52"/>
        <v>81.67544409</v>
      </c>
      <c r="U72" s="165">
        <f t="shared" si="52"/>
        <v>93.06950402</v>
      </c>
      <c r="V72" s="108"/>
      <c r="W72" s="34">
        <f t="shared" si="53"/>
        <v>0.1155125151</v>
      </c>
      <c r="Y72" s="35">
        <f t="shared" si="54"/>
        <v>0.1449487261</v>
      </c>
      <c r="Z72" s="36"/>
      <c r="AA72" s="108"/>
      <c r="AB72" s="108"/>
      <c r="AC72" s="108"/>
      <c r="AD72" s="108"/>
      <c r="AE72" s="108"/>
      <c r="AF72" s="108"/>
      <c r="AG72" s="108"/>
      <c r="AH72" s="108"/>
      <c r="AI72" s="108"/>
      <c r="AJ72" s="108"/>
      <c r="AK72" s="108"/>
      <c r="AL72" s="108"/>
      <c r="AM72" s="108"/>
      <c r="AN72" s="108"/>
      <c r="AO72" s="108"/>
      <c r="AP72" s="108"/>
      <c r="AQ72" s="108"/>
    </row>
    <row r="73" ht="15.75" customHeight="1">
      <c r="A73" s="163"/>
      <c r="B73" s="163"/>
      <c r="C73" s="163"/>
      <c r="D73" s="164"/>
      <c r="E73" s="164"/>
      <c r="F73" s="164"/>
      <c r="G73" s="164"/>
      <c r="H73" s="164"/>
      <c r="I73" s="164"/>
      <c r="J73" s="165"/>
      <c r="K73" s="165"/>
      <c r="L73" s="165"/>
      <c r="M73" s="165"/>
      <c r="N73" s="165"/>
      <c r="O73" s="165"/>
      <c r="P73" s="165"/>
      <c r="Q73" s="165"/>
      <c r="R73" s="165"/>
      <c r="S73" s="165"/>
      <c r="T73" s="165"/>
      <c r="U73" s="165"/>
      <c r="V73" s="108"/>
      <c r="W73" s="40"/>
      <c r="X73" s="95"/>
      <c r="Y73" s="108"/>
      <c r="Z73" s="110"/>
      <c r="AA73" s="108"/>
      <c r="AB73" s="108"/>
      <c r="AC73" s="108"/>
      <c r="AD73" s="108"/>
      <c r="AE73" s="108"/>
      <c r="AF73" s="108"/>
      <c r="AG73" s="108"/>
      <c r="AH73" s="108"/>
      <c r="AI73" s="108"/>
      <c r="AJ73" s="108"/>
      <c r="AK73" s="108"/>
      <c r="AL73" s="108"/>
      <c r="AM73" s="108"/>
      <c r="AN73" s="108"/>
      <c r="AO73" s="108"/>
      <c r="AP73" s="108"/>
      <c r="AQ73" s="108"/>
    </row>
    <row r="74" ht="15.75" customHeight="1">
      <c r="A74" s="183"/>
      <c r="B74" s="184" t="s">
        <v>52</v>
      </c>
      <c r="C74" s="183"/>
      <c r="D74" s="185"/>
      <c r="E74" s="185"/>
      <c r="F74" s="185"/>
      <c r="G74" s="185"/>
      <c r="H74" s="185"/>
      <c r="I74" s="185"/>
      <c r="J74" s="186"/>
      <c r="K74" s="186">
        <f t="shared" ref="K74:U74" si="55">(K55-K54-K50)*(1+K92)</f>
        <v>74931.3457</v>
      </c>
      <c r="L74" s="186">
        <f t="shared" si="55"/>
        <v>84736.08088</v>
      </c>
      <c r="M74" s="186">
        <f t="shared" si="55"/>
        <v>65056.48319</v>
      </c>
      <c r="N74" s="186">
        <f t="shared" si="55"/>
        <v>86421.33727</v>
      </c>
      <c r="O74" s="186">
        <f t="shared" si="55"/>
        <v>104061.8371</v>
      </c>
      <c r="P74" s="186">
        <f t="shared" si="55"/>
        <v>126630.7715</v>
      </c>
      <c r="Q74" s="186">
        <f t="shared" si="55"/>
        <v>126515.7371</v>
      </c>
      <c r="R74" s="186">
        <f t="shared" si="55"/>
        <v>140035.2329</v>
      </c>
      <c r="S74" s="186">
        <f t="shared" si="55"/>
        <v>154536.7257</v>
      </c>
      <c r="T74" s="186">
        <f t="shared" si="55"/>
        <v>170658.1602</v>
      </c>
      <c r="U74" s="186">
        <f t="shared" si="55"/>
        <v>188579.3835</v>
      </c>
      <c r="V74" s="187"/>
      <c r="W74" s="34">
        <f t="shared" ref="W74:W75" si="57">RRI(5,P74,U74)</f>
        <v>0.08290657798</v>
      </c>
      <c r="Y74" s="35">
        <f t="shared" ref="Y74:Y75" si="58">RRI(4,Q74,U74)</f>
        <v>0.1049367423</v>
      </c>
      <c r="Z74" s="36"/>
      <c r="AA74" s="187"/>
      <c r="AB74" s="187"/>
      <c r="AC74" s="187"/>
      <c r="AD74" s="187"/>
      <c r="AE74" s="187"/>
      <c r="AF74" s="187"/>
      <c r="AG74" s="187"/>
      <c r="AH74" s="187"/>
      <c r="AI74" s="187"/>
      <c r="AJ74" s="187"/>
      <c r="AK74" s="187"/>
      <c r="AL74" s="187"/>
      <c r="AM74" s="187"/>
      <c r="AN74" s="187"/>
      <c r="AO74" s="187"/>
      <c r="AP74" s="187"/>
      <c r="AQ74" s="187"/>
    </row>
    <row r="75" ht="15.75" customHeight="1">
      <c r="A75" s="183"/>
      <c r="B75" s="184" t="s">
        <v>53</v>
      </c>
      <c r="C75" s="183"/>
      <c r="D75" s="185"/>
      <c r="E75" s="185"/>
      <c r="F75" s="185"/>
      <c r="G75" s="185"/>
      <c r="H75" s="185"/>
      <c r="I75" s="185"/>
      <c r="J75" s="186"/>
      <c r="K75" s="186">
        <f t="shared" ref="K75:U75" si="56">K74/K69</f>
        <v>28.0825806</v>
      </c>
      <c r="L75" s="186">
        <f t="shared" si="56"/>
        <v>30.8383517</v>
      </c>
      <c r="M75" s="186">
        <f t="shared" si="56"/>
        <v>23.88814018</v>
      </c>
      <c r="N75" s="186">
        <f t="shared" si="56"/>
        <v>32.74465749</v>
      </c>
      <c r="O75" s="186">
        <f t="shared" si="56"/>
        <v>40.89066563</v>
      </c>
      <c r="P75" s="186">
        <f t="shared" si="56"/>
        <v>52.44053068</v>
      </c>
      <c r="Q75" s="186">
        <f t="shared" si="56"/>
        <v>54.85366932</v>
      </c>
      <c r="R75" s="186">
        <f t="shared" si="56"/>
        <v>63.18852933</v>
      </c>
      <c r="S75" s="186">
        <f t="shared" si="56"/>
        <v>72.25485841</v>
      </c>
      <c r="T75" s="186">
        <f t="shared" si="56"/>
        <v>82.40103713</v>
      </c>
      <c r="U75" s="186">
        <f t="shared" si="56"/>
        <v>93.77924356</v>
      </c>
      <c r="V75" s="187"/>
      <c r="W75" s="34">
        <f t="shared" si="57"/>
        <v>0.1232797495</v>
      </c>
      <c r="Y75" s="35">
        <f t="shared" si="58"/>
        <v>0.1434712779</v>
      </c>
      <c r="Z75" s="36"/>
      <c r="AA75" s="187"/>
      <c r="AB75" s="187"/>
      <c r="AC75" s="187"/>
      <c r="AD75" s="187"/>
      <c r="AE75" s="187"/>
      <c r="AF75" s="187"/>
      <c r="AG75" s="187"/>
      <c r="AH75" s="187"/>
      <c r="AI75" s="187"/>
      <c r="AJ75" s="187"/>
      <c r="AK75" s="187"/>
      <c r="AL75" s="187"/>
      <c r="AM75" s="187"/>
      <c r="AN75" s="187"/>
      <c r="AO75" s="187"/>
      <c r="AP75" s="187"/>
      <c r="AQ75" s="187"/>
    </row>
    <row r="76" ht="15.75" customHeight="1">
      <c r="A76" s="15"/>
      <c r="B76" s="15"/>
      <c r="C76" s="15" t="s">
        <v>44</v>
      </c>
      <c r="D76" s="37"/>
      <c r="E76" s="37"/>
      <c r="F76" s="37"/>
      <c r="G76" s="37"/>
      <c r="H76" s="37"/>
      <c r="I76" s="37"/>
      <c r="J76" s="16"/>
      <c r="K76" s="38" t="str">
        <f t="shared" ref="K76:U76" si="59">K75/J75-1</f>
        <v>#DIV/0!</v>
      </c>
      <c r="L76" s="38">
        <f t="shared" si="59"/>
        <v>0.0981309779</v>
      </c>
      <c r="M76" s="38">
        <f t="shared" si="59"/>
        <v>-0.225375584</v>
      </c>
      <c r="N76" s="38">
        <f t="shared" si="59"/>
        <v>0.3707495537</v>
      </c>
      <c r="O76" s="38">
        <f t="shared" si="59"/>
        <v>0.2487736555</v>
      </c>
      <c r="P76" s="38">
        <f t="shared" si="59"/>
        <v>0.2824572522</v>
      </c>
      <c r="Q76" s="38">
        <f t="shared" si="59"/>
        <v>0.04601667089</v>
      </c>
      <c r="R76" s="38">
        <f t="shared" si="59"/>
        <v>0.1519471734</v>
      </c>
      <c r="S76" s="38">
        <f t="shared" si="59"/>
        <v>0.1434806155</v>
      </c>
      <c r="T76" s="38">
        <f t="shared" si="59"/>
        <v>0.1404220968</v>
      </c>
      <c r="U76" s="38">
        <f t="shared" si="59"/>
        <v>0.1380832916</v>
      </c>
      <c r="W76" s="49"/>
      <c r="Z76" s="42"/>
    </row>
    <row r="77" ht="15.75" customHeight="1">
      <c r="A77" s="163"/>
      <c r="B77" s="163"/>
      <c r="C77" s="163"/>
      <c r="D77" s="164"/>
      <c r="E77" s="164"/>
      <c r="F77" s="164"/>
      <c r="G77" s="164"/>
      <c r="H77" s="164"/>
      <c r="I77" s="164"/>
      <c r="J77" s="165"/>
      <c r="K77" s="165"/>
      <c r="L77" s="165"/>
      <c r="M77" s="165"/>
      <c r="N77" s="165"/>
      <c r="O77" s="165"/>
      <c r="P77" s="165"/>
      <c r="Q77" s="165"/>
      <c r="R77" s="165"/>
      <c r="S77" s="165"/>
      <c r="T77" s="165"/>
      <c r="U77" s="165"/>
      <c r="V77" s="108"/>
      <c r="W77" s="40"/>
      <c r="X77" s="95"/>
      <c r="Y77" s="108"/>
      <c r="Z77" s="110"/>
      <c r="AA77" s="108"/>
      <c r="AB77" s="108"/>
      <c r="AC77" s="108"/>
      <c r="AD77" s="108"/>
      <c r="AE77" s="108"/>
      <c r="AF77" s="108"/>
      <c r="AG77" s="108"/>
      <c r="AH77" s="108"/>
      <c r="AI77" s="108"/>
      <c r="AJ77" s="108"/>
      <c r="AK77" s="108"/>
      <c r="AL77" s="108"/>
      <c r="AM77" s="108"/>
      <c r="AN77" s="108"/>
      <c r="AO77" s="108"/>
      <c r="AP77" s="108"/>
      <c r="AQ77" s="108"/>
    </row>
    <row r="78" ht="15.75" customHeight="1">
      <c r="A78" s="163"/>
      <c r="B78" s="163"/>
      <c r="C78" s="163"/>
      <c r="D78" s="164"/>
      <c r="E78" s="164"/>
      <c r="F78" s="164"/>
      <c r="G78" s="164"/>
      <c r="H78" s="164"/>
      <c r="I78" s="164"/>
      <c r="J78" s="165"/>
      <c r="K78" s="165"/>
      <c r="L78" s="165"/>
      <c r="M78" s="165"/>
      <c r="N78" s="165"/>
      <c r="O78" s="165"/>
      <c r="P78" s="165"/>
      <c r="Q78" s="165"/>
      <c r="R78" s="165"/>
      <c r="S78" s="165"/>
      <c r="T78" s="165"/>
      <c r="U78" s="165"/>
      <c r="V78" s="108"/>
      <c r="W78" s="40"/>
      <c r="X78" s="95"/>
      <c r="Y78" s="108"/>
      <c r="Z78" s="110"/>
      <c r="AA78" s="108"/>
      <c r="AB78" s="108"/>
      <c r="AC78" s="108"/>
      <c r="AD78" s="108"/>
      <c r="AE78" s="108"/>
      <c r="AF78" s="108"/>
      <c r="AG78" s="108"/>
      <c r="AH78" s="108"/>
      <c r="AI78" s="108"/>
      <c r="AJ78" s="108"/>
      <c r="AK78" s="108"/>
      <c r="AL78" s="108"/>
      <c r="AM78" s="108"/>
      <c r="AN78" s="108"/>
      <c r="AO78" s="108"/>
      <c r="AP78" s="108"/>
      <c r="AQ78" s="108"/>
    </row>
    <row r="79" ht="15.75" customHeight="1">
      <c r="A79" s="163"/>
      <c r="B79" s="163"/>
      <c r="C79" s="163"/>
      <c r="D79" s="164"/>
      <c r="E79" s="164"/>
      <c r="F79" s="164"/>
      <c r="G79" s="164"/>
      <c r="H79" s="164"/>
      <c r="I79" s="164"/>
      <c r="J79" s="165"/>
      <c r="K79" s="165"/>
      <c r="L79" s="165"/>
      <c r="M79" s="165"/>
      <c r="N79" s="165"/>
      <c r="O79" s="165"/>
      <c r="P79" s="165"/>
      <c r="Q79" s="165"/>
      <c r="R79" s="165"/>
      <c r="S79" s="165"/>
      <c r="T79" s="165"/>
      <c r="U79" s="165"/>
      <c r="V79" s="108"/>
      <c r="W79" s="40"/>
      <c r="X79" s="95"/>
      <c r="Y79" s="108"/>
      <c r="Z79" s="110"/>
      <c r="AA79" s="108"/>
      <c r="AB79" s="108"/>
      <c r="AC79" s="108"/>
      <c r="AD79" s="108"/>
      <c r="AE79" s="108"/>
      <c r="AF79" s="108"/>
      <c r="AG79" s="108"/>
      <c r="AH79" s="108"/>
      <c r="AI79" s="108"/>
      <c r="AJ79" s="108"/>
      <c r="AK79" s="108"/>
      <c r="AL79" s="108"/>
      <c r="AM79" s="108"/>
      <c r="AN79" s="108"/>
      <c r="AO79" s="108"/>
      <c r="AP79" s="108"/>
      <c r="AQ79" s="108"/>
    </row>
    <row r="80" ht="15.75" customHeight="1">
      <c r="A80" s="15"/>
      <c r="B80" s="15"/>
      <c r="C80" s="15"/>
      <c r="D80" s="37"/>
      <c r="E80" s="37"/>
      <c r="F80" s="37"/>
      <c r="G80" s="37"/>
      <c r="H80" s="37"/>
      <c r="I80" s="37"/>
      <c r="J80" s="37"/>
      <c r="K80" s="16"/>
      <c r="L80" s="16"/>
      <c r="M80" s="16"/>
      <c r="N80" s="16"/>
      <c r="O80" s="16"/>
      <c r="P80" s="16"/>
      <c r="Q80" s="16"/>
      <c r="R80" s="16"/>
      <c r="S80" s="16"/>
      <c r="T80" s="16"/>
      <c r="U80" s="16"/>
      <c r="W80" s="40"/>
      <c r="Z80" s="42"/>
    </row>
    <row r="81" ht="15.75" customHeight="1">
      <c r="A81" s="115"/>
      <c r="B81" s="115" t="s">
        <v>54</v>
      </c>
      <c r="C81" s="115"/>
      <c r="D81" s="117"/>
      <c r="E81" s="117"/>
      <c r="F81" s="117"/>
      <c r="G81" s="117"/>
      <c r="H81" s="117"/>
      <c r="I81" s="117"/>
      <c r="J81" s="117"/>
      <c r="K81" s="145">
        <v>0.0</v>
      </c>
      <c r="L81" s="145">
        <f t="shared" ref="L81:N81" si="60">L82/L72</f>
        <v>0</v>
      </c>
      <c r="M81" s="145">
        <f t="shared" si="60"/>
        <v>0</v>
      </c>
      <c r="N81" s="145">
        <f t="shared" si="60"/>
        <v>0</v>
      </c>
      <c r="O81" s="145">
        <v>0.2465</v>
      </c>
      <c r="P81" s="145">
        <v>0.25</v>
      </c>
      <c r="Q81" s="145">
        <v>0.25</v>
      </c>
      <c r="R81" s="145">
        <v>0.25</v>
      </c>
      <c r="S81" s="145">
        <v>0.25</v>
      </c>
      <c r="T81" s="145">
        <v>0.25</v>
      </c>
      <c r="U81" s="145">
        <v>0.25</v>
      </c>
      <c r="V81" s="188"/>
      <c r="W81" s="40"/>
      <c r="Y81" s="188"/>
      <c r="Z81" s="189"/>
      <c r="AA81" s="188"/>
      <c r="AB81" s="188"/>
      <c r="AC81" s="188"/>
      <c r="AD81" s="188"/>
      <c r="AE81" s="188"/>
      <c r="AF81" s="188"/>
      <c r="AG81" s="188"/>
      <c r="AH81" s="188"/>
      <c r="AI81" s="188"/>
      <c r="AJ81" s="188"/>
      <c r="AK81" s="188"/>
      <c r="AL81" s="188"/>
      <c r="AM81" s="188"/>
      <c r="AN81" s="188"/>
      <c r="AO81" s="188"/>
      <c r="AP81" s="188"/>
      <c r="AQ81" s="188"/>
    </row>
    <row r="82" ht="15.75" customHeight="1">
      <c r="A82" s="163"/>
      <c r="B82" s="163" t="s">
        <v>55</v>
      </c>
      <c r="C82" s="163"/>
      <c r="D82" s="164"/>
      <c r="E82" s="164"/>
      <c r="F82" s="164"/>
      <c r="G82" s="164"/>
      <c r="H82" s="164"/>
      <c r="I82" s="164"/>
      <c r="J82" s="190"/>
      <c r="K82" s="190"/>
      <c r="L82" s="190"/>
      <c r="M82" s="190"/>
      <c r="N82" s="190"/>
      <c r="O82" s="190">
        <f t="shared" ref="O82:U82" si="61">O72*O81</f>
        <v>7.749763643</v>
      </c>
      <c r="P82" s="165">
        <f t="shared" si="61"/>
        <v>13.47023501</v>
      </c>
      <c r="Q82" s="165">
        <f t="shared" si="61"/>
        <v>13.5395196</v>
      </c>
      <c r="R82" s="165">
        <f t="shared" si="61"/>
        <v>15.61711396</v>
      </c>
      <c r="S82" s="165">
        <f t="shared" si="61"/>
        <v>17.88159518</v>
      </c>
      <c r="T82" s="165">
        <f t="shared" si="61"/>
        <v>20.41886102</v>
      </c>
      <c r="U82" s="165">
        <f t="shared" si="61"/>
        <v>23.26737601</v>
      </c>
      <c r="V82" s="89"/>
      <c r="W82" s="191">
        <f>RRI(5,P82,U82)</f>
        <v>0.1155125151</v>
      </c>
      <c r="X82" s="192"/>
      <c r="Y82" s="193">
        <f>RRI(4,Q82,U82)</f>
        <v>0.1449487261</v>
      </c>
      <c r="Z82" s="192"/>
      <c r="AA82" s="89"/>
      <c r="AB82" s="89"/>
      <c r="AC82" s="89"/>
      <c r="AD82" s="89"/>
      <c r="AE82" s="89"/>
      <c r="AF82" s="89"/>
      <c r="AG82" s="89"/>
      <c r="AH82" s="89"/>
      <c r="AI82" s="89"/>
      <c r="AJ82" s="89"/>
      <c r="AK82" s="89"/>
      <c r="AL82" s="89"/>
      <c r="AM82" s="89"/>
      <c r="AN82" s="89"/>
      <c r="AO82" s="89"/>
      <c r="AP82" s="89"/>
      <c r="AQ82" s="89"/>
    </row>
    <row r="83" ht="15.75" customHeight="1">
      <c r="A83" s="15"/>
      <c r="B83" s="15"/>
      <c r="C83" s="15"/>
      <c r="D83" s="37"/>
      <c r="E83" s="37"/>
      <c r="F83" s="37"/>
      <c r="G83" s="37"/>
      <c r="H83" s="37"/>
      <c r="I83" s="37"/>
      <c r="J83" s="37"/>
      <c r="K83" s="16"/>
      <c r="L83" s="16"/>
      <c r="M83" s="16"/>
      <c r="N83" s="16"/>
      <c r="O83" s="16"/>
      <c r="P83" s="16"/>
      <c r="Q83" s="16"/>
      <c r="R83" s="16"/>
      <c r="S83" s="16"/>
      <c r="T83" s="16"/>
      <c r="U83" s="16"/>
      <c r="W83" s="10"/>
      <c r="X83" s="10"/>
    </row>
    <row r="84" ht="15.75" customHeight="1">
      <c r="A84" s="194"/>
      <c r="B84" s="195" t="s">
        <v>56</v>
      </c>
      <c r="C84" s="196"/>
      <c r="D84" s="197"/>
      <c r="E84" s="197"/>
      <c r="F84" s="197"/>
      <c r="G84" s="197"/>
      <c r="H84" s="197"/>
      <c r="I84" s="197"/>
      <c r="J84" s="197"/>
      <c r="K84" s="197"/>
      <c r="L84" s="197"/>
      <c r="M84" s="197"/>
      <c r="N84" s="197"/>
      <c r="O84" s="197"/>
      <c r="P84" s="197"/>
      <c r="Q84" s="197"/>
      <c r="R84" s="197"/>
      <c r="S84" s="197"/>
      <c r="T84" s="197"/>
      <c r="U84" s="197"/>
      <c r="W84" s="10"/>
      <c r="X84" s="10"/>
    </row>
    <row r="85" ht="15.75" customHeight="1" outlineLevel="1">
      <c r="A85" s="15"/>
      <c r="B85" s="15" t="s">
        <v>57</v>
      </c>
      <c r="C85" s="15"/>
      <c r="D85" s="37"/>
      <c r="E85" s="37"/>
      <c r="F85" s="37"/>
      <c r="G85" s="37"/>
      <c r="H85" s="37"/>
      <c r="I85" s="37"/>
      <c r="J85" s="38">
        <f t="shared" ref="J85:P85" si="62">J30/J7</f>
        <v>-0.5415662715</v>
      </c>
      <c r="K85" s="38">
        <f t="shared" si="62"/>
        <v>-0.5487678312</v>
      </c>
      <c r="L85" s="38">
        <f t="shared" si="62"/>
        <v>-0.584864678</v>
      </c>
      <c r="M85" s="38">
        <f t="shared" si="62"/>
        <v>-0.6314957178</v>
      </c>
      <c r="N85" s="38">
        <f t="shared" si="62"/>
        <v>-0.6314840673</v>
      </c>
      <c r="O85" s="38">
        <f t="shared" si="62"/>
        <v>-0.6229737943</v>
      </c>
      <c r="P85" s="38">
        <f t="shared" si="62"/>
        <v>-0.6004785481</v>
      </c>
      <c r="Q85" s="198">
        <v>-0.596</v>
      </c>
      <c r="R85" s="38">
        <f t="shared" ref="R85:U85" si="63">Q85+0.004</f>
        <v>-0.592</v>
      </c>
      <c r="S85" s="38">
        <f t="shared" si="63"/>
        <v>-0.588</v>
      </c>
      <c r="T85" s="38">
        <f t="shared" si="63"/>
        <v>-0.584</v>
      </c>
      <c r="U85" s="38">
        <f t="shared" si="63"/>
        <v>-0.58</v>
      </c>
      <c r="W85" s="10"/>
      <c r="X85" s="10"/>
    </row>
    <row r="86" ht="15.75" customHeight="1" outlineLevel="1">
      <c r="A86" s="199"/>
      <c r="B86" s="199" t="s">
        <v>58</v>
      </c>
      <c r="C86" s="199"/>
      <c r="D86" s="37"/>
      <c r="E86" s="37"/>
      <c r="F86" s="37"/>
      <c r="G86" s="37"/>
      <c r="H86" s="37"/>
      <c r="I86" s="37"/>
      <c r="J86" s="38">
        <f t="shared" ref="J86:P86" si="64">J34/J7</f>
        <v>-0.1671513942</v>
      </c>
      <c r="K86" s="38">
        <f t="shared" si="64"/>
        <v>-0.1547347418</v>
      </c>
      <c r="L86" s="38">
        <f t="shared" si="64"/>
        <v>-0.1652262895</v>
      </c>
      <c r="M86" s="38">
        <f t="shared" si="64"/>
        <v>-0.1778545991</v>
      </c>
      <c r="N86" s="38">
        <f t="shared" si="64"/>
        <v>-0.1677002188</v>
      </c>
      <c r="O86" s="38">
        <f t="shared" si="64"/>
        <v>-0.1669478775</v>
      </c>
      <c r="P86" s="38">
        <f t="shared" si="64"/>
        <v>-0.1889502352</v>
      </c>
      <c r="Q86" s="38">
        <f t="shared" ref="Q86:U86" si="65">P86</f>
        <v>-0.1889502352</v>
      </c>
      <c r="R86" s="38">
        <f t="shared" si="65"/>
        <v>-0.1889502352</v>
      </c>
      <c r="S86" s="38">
        <f t="shared" si="65"/>
        <v>-0.1889502352</v>
      </c>
      <c r="T86" s="38">
        <f t="shared" si="65"/>
        <v>-0.1889502352</v>
      </c>
      <c r="U86" s="38">
        <f t="shared" si="65"/>
        <v>-0.1889502352</v>
      </c>
      <c r="W86" s="10"/>
      <c r="X86" s="10"/>
    </row>
    <row r="87" ht="15.75" customHeight="1" outlineLevel="1">
      <c r="A87" s="9"/>
      <c r="B87" s="9" t="s">
        <v>59</v>
      </c>
      <c r="C87" s="200"/>
      <c r="D87" s="37"/>
      <c r="E87" s="37"/>
      <c r="F87" s="37"/>
      <c r="G87" s="37"/>
      <c r="H87" s="37"/>
      <c r="I87" s="37"/>
      <c r="J87" s="38">
        <f t="shared" ref="J87:O87" si="66">J35/J7</f>
        <v>0</v>
      </c>
      <c r="K87" s="38">
        <f t="shared" si="66"/>
        <v>0</v>
      </c>
      <c r="L87" s="38">
        <f t="shared" si="66"/>
        <v>0</v>
      </c>
      <c r="M87" s="38">
        <f t="shared" si="66"/>
        <v>0</v>
      </c>
      <c r="N87" s="38">
        <f t="shared" si="66"/>
        <v>0</v>
      </c>
      <c r="O87" s="38">
        <f t="shared" si="66"/>
        <v>0</v>
      </c>
      <c r="P87" s="38">
        <f t="shared" ref="P87:U87" si="67">O87</f>
        <v>0</v>
      </c>
      <c r="Q87" s="38">
        <f t="shared" si="67"/>
        <v>0</v>
      </c>
      <c r="R87" s="38">
        <f t="shared" si="67"/>
        <v>0</v>
      </c>
      <c r="S87" s="38">
        <f t="shared" si="67"/>
        <v>0</v>
      </c>
      <c r="T87" s="38">
        <f t="shared" si="67"/>
        <v>0</v>
      </c>
      <c r="U87" s="38">
        <f t="shared" si="67"/>
        <v>0</v>
      </c>
      <c r="W87" s="10"/>
      <c r="X87" s="10"/>
    </row>
    <row r="88" ht="15.75" customHeight="1" outlineLevel="1">
      <c r="A88" s="9"/>
      <c r="B88" s="9" t="s">
        <v>60</v>
      </c>
      <c r="D88" s="37"/>
      <c r="E88" s="37"/>
      <c r="F88" s="37"/>
      <c r="G88" s="37"/>
      <c r="H88" s="37"/>
      <c r="I88" s="37"/>
      <c r="J88" s="38">
        <f t="shared" ref="J88:P88" si="68">J36/J7</f>
        <v>-0.09933818769</v>
      </c>
      <c r="K88" s="38">
        <f t="shared" si="68"/>
        <v>-0.08451848204</v>
      </c>
      <c r="L88" s="38">
        <f t="shared" si="68"/>
        <v>-0.07979489439</v>
      </c>
      <c r="M88" s="38">
        <f t="shared" si="68"/>
        <v>-0.0650187208</v>
      </c>
      <c r="N88" s="38">
        <f t="shared" si="68"/>
        <v>-0.06532157152</v>
      </c>
      <c r="O88" s="38">
        <f t="shared" si="68"/>
        <v>-0.0555224997</v>
      </c>
      <c r="P88" s="38">
        <f t="shared" si="68"/>
        <v>-0.05736053805</v>
      </c>
      <c r="Q88" s="38">
        <f t="shared" ref="Q88:U88" si="69">P88</f>
        <v>-0.05736053805</v>
      </c>
      <c r="R88" s="38">
        <f t="shared" si="69"/>
        <v>-0.05736053805</v>
      </c>
      <c r="S88" s="38">
        <f t="shared" si="69"/>
        <v>-0.05736053805</v>
      </c>
      <c r="T88" s="38">
        <f t="shared" si="69"/>
        <v>-0.05736053805</v>
      </c>
      <c r="U88" s="38">
        <f t="shared" si="69"/>
        <v>-0.05736053805</v>
      </c>
      <c r="W88" s="10"/>
      <c r="X88" s="10"/>
    </row>
    <row r="89" ht="15.75" customHeight="1" outlineLevel="1">
      <c r="A89" s="9"/>
      <c r="B89" s="9" t="s">
        <v>61</v>
      </c>
      <c r="D89" s="37"/>
      <c r="E89" s="37"/>
      <c r="F89" s="37"/>
      <c r="G89" s="37"/>
      <c r="H89" s="37"/>
      <c r="I89" s="37"/>
      <c r="J89" s="38">
        <f t="shared" ref="J89:P89" si="70">J37/J7</f>
        <v>-0.02846535967</v>
      </c>
      <c r="K89" s="38">
        <f t="shared" si="70"/>
        <v>-0.02455116723</v>
      </c>
      <c r="L89" s="38">
        <f t="shared" si="70"/>
        <v>-0.01732495549</v>
      </c>
      <c r="M89" s="38">
        <f t="shared" si="70"/>
        <v>-0.01251257236</v>
      </c>
      <c r="N89" s="38">
        <f t="shared" si="70"/>
        <v>-0.01230938186</v>
      </c>
      <c r="O89" s="38">
        <f t="shared" si="70"/>
        <v>-0.007166627</v>
      </c>
      <c r="P89" s="38">
        <f t="shared" si="70"/>
        <v>-0.005722905775</v>
      </c>
      <c r="Q89" s="38">
        <f t="shared" ref="Q89:U89" si="71">P89</f>
        <v>-0.005722905775</v>
      </c>
      <c r="R89" s="38">
        <f t="shared" si="71"/>
        <v>-0.005722905775</v>
      </c>
      <c r="S89" s="38">
        <f t="shared" si="71"/>
        <v>-0.005722905775</v>
      </c>
      <c r="T89" s="38">
        <f t="shared" si="71"/>
        <v>-0.005722905775</v>
      </c>
      <c r="U89" s="38">
        <f t="shared" si="71"/>
        <v>-0.005722905775</v>
      </c>
      <c r="W89" s="10"/>
      <c r="X89" s="10"/>
    </row>
    <row r="90" ht="15.75" customHeight="1" outlineLevel="1">
      <c r="A90" s="200"/>
      <c r="B90" s="200" t="s">
        <v>62</v>
      </c>
      <c r="C90" s="200"/>
      <c r="D90" s="37"/>
      <c r="E90" s="37"/>
      <c r="F90" s="37"/>
      <c r="G90" s="37"/>
      <c r="H90" s="37"/>
      <c r="I90" s="37"/>
      <c r="J90" s="38">
        <f t="shared" ref="J90:O90" si="72">J38/J7</f>
        <v>0</v>
      </c>
      <c r="K90" s="38">
        <f t="shared" si="72"/>
        <v>0</v>
      </c>
      <c r="L90" s="38">
        <f t="shared" si="72"/>
        <v>0</v>
      </c>
      <c r="M90" s="38">
        <f t="shared" si="72"/>
        <v>0</v>
      </c>
      <c r="N90" s="38">
        <f t="shared" si="72"/>
        <v>0</v>
      </c>
      <c r="O90" s="38">
        <f t="shared" si="72"/>
        <v>0</v>
      </c>
      <c r="P90" s="38">
        <f t="shared" ref="P90:U90" si="73">O90</f>
        <v>0</v>
      </c>
      <c r="Q90" s="38">
        <f t="shared" si="73"/>
        <v>0</v>
      </c>
      <c r="R90" s="38">
        <f t="shared" si="73"/>
        <v>0</v>
      </c>
      <c r="S90" s="38">
        <f t="shared" si="73"/>
        <v>0</v>
      </c>
      <c r="T90" s="38">
        <f t="shared" si="73"/>
        <v>0</v>
      </c>
      <c r="U90" s="38">
        <f t="shared" si="73"/>
        <v>0</v>
      </c>
      <c r="V90" s="201"/>
      <c r="W90" s="10"/>
      <c r="X90" s="10"/>
    </row>
    <row r="91" ht="15.75" customHeight="1" outlineLevel="1">
      <c r="A91" s="15"/>
      <c r="B91" s="15" t="s">
        <v>63</v>
      </c>
      <c r="C91" s="15"/>
      <c r="D91" s="37"/>
      <c r="E91" s="37"/>
      <c r="F91" s="37"/>
      <c r="G91" s="37"/>
      <c r="H91" s="37"/>
      <c r="I91" s="37"/>
      <c r="J91" s="38">
        <f t="shared" ref="J91:P91" si="74">J54/J7</f>
        <v>-0.007544235811</v>
      </c>
      <c r="K91" s="38">
        <f t="shared" si="74"/>
        <v>-0.008051621409</v>
      </c>
      <c r="L91" s="38">
        <f t="shared" si="74"/>
        <v>-0.002353305293</v>
      </c>
      <c r="M91" s="38">
        <f t="shared" si="74"/>
        <v>-0.04989203598</v>
      </c>
      <c r="N91" s="38">
        <f t="shared" si="74"/>
        <v>-0.02040896203</v>
      </c>
      <c r="O91" s="38">
        <f t="shared" si="74"/>
        <v>-0.03754058787</v>
      </c>
      <c r="P91" s="38">
        <f t="shared" si="74"/>
        <v>-0.006829949807</v>
      </c>
      <c r="Q91" s="38">
        <f t="shared" ref="Q91:U91" si="75">P91</f>
        <v>-0.006829949807</v>
      </c>
      <c r="R91" s="38">
        <f t="shared" si="75"/>
        <v>-0.006829949807</v>
      </c>
      <c r="S91" s="38">
        <f t="shared" si="75"/>
        <v>-0.006829949807</v>
      </c>
      <c r="T91" s="38">
        <f t="shared" si="75"/>
        <v>-0.006829949807</v>
      </c>
      <c r="U91" s="38">
        <f t="shared" si="75"/>
        <v>-0.006829949807</v>
      </c>
      <c r="V91" s="201"/>
      <c r="W91" s="10"/>
      <c r="X91" s="10"/>
    </row>
    <row r="92" ht="15.75" customHeight="1" outlineLevel="1">
      <c r="A92" s="15"/>
      <c r="B92" s="15" t="s">
        <v>64</v>
      </c>
      <c r="C92" s="15"/>
      <c r="D92" s="37"/>
      <c r="E92" s="37"/>
      <c r="F92" s="37"/>
      <c r="G92" s="37"/>
      <c r="H92" s="37"/>
      <c r="I92" s="37"/>
      <c r="J92" s="38">
        <f t="shared" ref="J92:P92" si="76">J57/J55</f>
        <v>-0.3045069904</v>
      </c>
      <c r="K92" s="38">
        <f t="shared" si="76"/>
        <v>-0.2337759789</v>
      </c>
      <c r="L92" s="38">
        <f t="shared" si="76"/>
        <v>-0.2481270552</v>
      </c>
      <c r="M92" s="38">
        <f t="shared" si="76"/>
        <v>-0.3628846726</v>
      </c>
      <c r="N92" s="38">
        <f t="shared" si="76"/>
        <v>-0.1916742684</v>
      </c>
      <c r="O92" s="38">
        <f t="shared" si="76"/>
        <v>-0.2400251436</v>
      </c>
      <c r="P92" s="38">
        <f t="shared" si="76"/>
        <v>-0.2195810954</v>
      </c>
      <c r="Q92" s="38">
        <f t="shared" ref="Q92:U92" si="77">P92</f>
        <v>-0.2195810954</v>
      </c>
      <c r="R92" s="38">
        <f t="shared" si="77"/>
        <v>-0.2195810954</v>
      </c>
      <c r="S92" s="38">
        <f t="shared" si="77"/>
        <v>-0.2195810954</v>
      </c>
      <c r="T92" s="38">
        <f t="shared" si="77"/>
        <v>-0.2195810954</v>
      </c>
      <c r="U92" s="38">
        <f t="shared" si="77"/>
        <v>-0.2195810954</v>
      </c>
      <c r="V92" s="201"/>
      <c r="W92" s="10"/>
      <c r="X92" s="10"/>
    </row>
    <row r="93" ht="15.75" customHeight="1" outlineLevel="1">
      <c r="A93" s="15"/>
      <c r="B93" s="15" t="s">
        <v>65</v>
      </c>
      <c r="C93" s="15"/>
      <c r="D93" s="37"/>
      <c r="E93" s="37"/>
      <c r="F93" s="37"/>
      <c r="G93" s="37"/>
      <c r="H93" s="37"/>
      <c r="I93" s="37"/>
      <c r="J93" s="201"/>
      <c r="K93" s="38"/>
      <c r="L93" s="38"/>
      <c r="M93" s="38"/>
      <c r="N93" s="38"/>
      <c r="O93" s="38"/>
      <c r="P93" s="38"/>
      <c r="Q93" s="38"/>
      <c r="R93" s="38"/>
      <c r="S93" s="38"/>
      <c r="T93" s="38"/>
      <c r="U93" s="38"/>
      <c r="V93" s="38" t="str">
        <f>U93</f>
        <v/>
      </c>
      <c r="W93" s="10"/>
      <c r="X93" s="10"/>
    </row>
    <row r="94" ht="15.75" customHeight="1" outlineLevel="1">
      <c r="A94" s="15"/>
      <c r="B94" s="15" t="s">
        <v>66</v>
      </c>
      <c r="C94" s="15"/>
      <c r="D94" s="37"/>
      <c r="E94" s="37"/>
      <c r="F94" s="37"/>
      <c r="G94" s="37"/>
      <c r="H94" s="37"/>
      <c r="I94" s="37"/>
      <c r="J94" s="201"/>
      <c r="K94" s="38">
        <f t="shared" ref="K94:P94" si="78">K65/K62</f>
        <v>0.134774609</v>
      </c>
      <c r="L94" s="38">
        <f t="shared" si="78"/>
        <v>0.08221555941</v>
      </c>
      <c r="M94" s="38">
        <f t="shared" si="78"/>
        <v>0.3222243463</v>
      </c>
      <c r="N94" s="38">
        <f t="shared" si="78"/>
        <v>0.109953792</v>
      </c>
      <c r="O94" s="38">
        <f t="shared" si="78"/>
        <v>0.1216424606</v>
      </c>
      <c r="P94" s="38">
        <f t="shared" si="78"/>
        <v>0.03280783641</v>
      </c>
      <c r="Q94" s="38">
        <f t="shared" ref="Q94:U94" si="79">P94</f>
        <v>0.03280783641</v>
      </c>
      <c r="R94" s="38">
        <f t="shared" si="79"/>
        <v>0.03280783641</v>
      </c>
      <c r="S94" s="38">
        <f t="shared" si="79"/>
        <v>0.03280783641</v>
      </c>
      <c r="T94" s="38">
        <f t="shared" si="79"/>
        <v>0.03280783641</v>
      </c>
      <c r="U94" s="38">
        <f t="shared" si="79"/>
        <v>0.03280783641</v>
      </c>
      <c r="V94" s="201"/>
      <c r="W94" s="10"/>
      <c r="X94" s="10"/>
    </row>
    <row r="95" ht="15.75" customHeight="1" outlineLevel="1">
      <c r="A95" s="15"/>
      <c r="B95" s="15" t="s">
        <v>67</v>
      </c>
      <c r="C95" s="15"/>
      <c r="D95" s="37"/>
      <c r="E95" s="37"/>
      <c r="F95" s="37"/>
      <c r="G95" s="37"/>
      <c r="H95" s="37"/>
      <c r="I95" s="37"/>
      <c r="J95" s="201">
        <f t="shared" ref="J95:U95" si="80">J46</f>
        <v>0.163478787</v>
      </c>
      <c r="K95" s="38">
        <f t="shared" si="80"/>
        <v>0.1874277777</v>
      </c>
      <c r="L95" s="38">
        <f t="shared" si="80"/>
        <v>0.1527891826</v>
      </c>
      <c r="M95" s="38">
        <f t="shared" si="80"/>
        <v>0.11311839</v>
      </c>
      <c r="N95" s="38">
        <f t="shared" si="80"/>
        <v>0.1231847604</v>
      </c>
      <c r="O95" s="38">
        <f t="shared" si="80"/>
        <v>0.1473892015</v>
      </c>
      <c r="P95" s="38">
        <f t="shared" si="80"/>
        <v>0.148251563</v>
      </c>
      <c r="Q95" s="38">
        <f t="shared" si="80"/>
        <v>0.151966321</v>
      </c>
      <c r="R95" s="38">
        <f t="shared" si="80"/>
        <v>0.155966321</v>
      </c>
      <c r="S95" s="38">
        <f t="shared" si="80"/>
        <v>0.159966321</v>
      </c>
      <c r="T95" s="38">
        <f t="shared" si="80"/>
        <v>0.163966321</v>
      </c>
      <c r="U95" s="38">
        <f t="shared" si="80"/>
        <v>0.167966321</v>
      </c>
      <c r="W95" s="10"/>
      <c r="X95" s="10"/>
    </row>
    <row r="96" ht="15.75" customHeight="1" outlineLevel="1">
      <c r="A96" s="15"/>
      <c r="B96" s="15" t="s">
        <v>68</v>
      </c>
      <c r="C96" s="15"/>
      <c r="D96" s="37"/>
      <c r="E96" s="37"/>
      <c r="F96" s="37"/>
      <c r="G96" s="37"/>
      <c r="H96" s="37"/>
      <c r="I96" s="37"/>
      <c r="J96" s="37"/>
      <c r="K96" s="202">
        <f>(K69/J69)</f>
        <v>1.017057366</v>
      </c>
      <c r="L96" s="202">
        <f t="shared" ref="L96:U96" si="81">L69/K69</f>
        <v>1.029794809</v>
      </c>
      <c r="M96" s="202">
        <f t="shared" si="81"/>
        <v>0.9911309253</v>
      </c>
      <c r="N96" s="202">
        <f t="shared" si="81"/>
        <v>0.9691082405</v>
      </c>
      <c r="O96" s="202">
        <f t="shared" si="81"/>
        <v>0.9642436298</v>
      </c>
      <c r="P96" s="202">
        <f t="shared" si="81"/>
        <v>0.9488659583</v>
      </c>
      <c r="Q96" s="202">
        <f t="shared" si="81"/>
        <v>0.9551392484</v>
      </c>
      <c r="R96" s="202">
        <f t="shared" si="81"/>
        <v>0.9608601994</v>
      </c>
      <c r="S96" s="202">
        <f t="shared" si="81"/>
        <v>0.9650850347</v>
      </c>
      <c r="T96" s="202">
        <f t="shared" si="81"/>
        <v>0.9683441422</v>
      </c>
      <c r="U96" s="202">
        <f t="shared" si="81"/>
        <v>0.9709415909</v>
      </c>
      <c r="W96" s="10"/>
      <c r="X96" s="10"/>
    </row>
    <row r="97" ht="15.75" customHeight="1">
      <c r="A97" s="203"/>
      <c r="B97" s="204" t="s">
        <v>69</v>
      </c>
      <c r="C97" s="203"/>
      <c r="D97" s="203"/>
      <c r="E97" s="203"/>
      <c r="F97" s="203"/>
      <c r="G97" s="203"/>
      <c r="H97" s="203"/>
      <c r="I97" s="203"/>
      <c r="J97" s="205">
        <f t="shared" ref="J97:P97" si="82">J49/J113</f>
        <v>-0.03864482502</v>
      </c>
      <c r="K97" s="205">
        <f t="shared" si="82"/>
        <v>-0.0412979351</v>
      </c>
      <c r="L97" s="205">
        <f t="shared" si="82"/>
        <v>-0.03000945338</v>
      </c>
      <c r="M97" s="205">
        <f t="shared" si="82"/>
        <v>-0.03473086937</v>
      </c>
      <c r="N97" s="205">
        <f t="shared" si="82"/>
        <v>-0.03667711987</v>
      </c>
      <c r="O97" s="205">
        <f t="shared" si="82"/>
        <v>-0.04653464187</v>
      </c>
      <c r="P97" s="205">
        <f t="shared" si="82"/>
        <v>-0.04559384607</v>
      </c>
      <c r="Q97" s="205">
        <f t="shared" ref="Q97:U97" si="83">P97</f>
        <v>-0.04559384607</v>
      </c>
      <c r="R97" s="205">
        <f t="shared" si="83"/>
        <v>-0.04559384607</v>
      </c>
      <c r="S97" s="205">
        <f t="shared" si="83"/>
        <v>-0.04559384607</v>
      </c>
      <c r="T97" s="205">
        <f t="shared" si="83"/>
        <v>-0.04559384607</v>
      </c>
      <c r="U97" s="205">
        <f t="shared" si="83"/>
        <v>-0.04559384607</v>
      </c>
      <c r="W97" s="10"/>
      <c r="X97" s="10"/>
    </row>
    <row r="98" ht="15.75" customHeight="1">
      <c r="A98" s="206"/>
      <c r="B98" s="207" t="s">
        <v>70</v>
      </c>
      <c r="C98" s="14"/>
      <c r="D98" s="14"/>
      <c r="E98" s="14"/>
      <c r="F98" s="14"/>
      <c r="G98" s="14"/>
      <c r="H98" s="14"/>
      <c r="I98" s="14"/>
      <c r="J98" s="14"/>
      <c r="K98" s="14"/>
      <c r="L98" s="14"/>
      <c r="M98" s="14"/>
      <c r="N98" s="14"/>
      <c r="O98" s="14"/>
      <c r="P98" s="14"/>
      <c r="Q98" s="14"/>
      <c r="R98" s="14"/>
      <c r="S98" s="14"/>
      <c r="T98" s="14"/>
      <c r="U98" s="14"/>
      <c r="W98" s="10"/>
      <c r="X98" s="10"/>
    </row>
    <row r="99" ht="15.75" customHeight="1">
      <c r="A99" s="15"/>
      <c r="B99" s="15"/>
      <c r="C99" s="15"/>
      <c r="D99" s="37"/>
      <c r="E99" s="37"/>
      <c r="F99" s="37"/>
      <c r="G99" s="37"/>
      <c r="H99" s="37"/>
      <c r="I99" s="37"/>
      <c r="J99" s="37"/>
      <c r="K99" s="37"/>
      <c r="L99" s="37"/>
      <c r="M99" s="37"/>
      <c r="N99" s="37"/>
      <c r="O99" s="37"/>
      <c r="P99" s="37"/>
      <c r="Q99" s="37"/>
      <c r="R99" s="37"/>
      <c r="S99" s="37"/>
      <c r="T99" s="37"/>
      <c r="U99" s="37"/>
      <c r="W99" s="10"/>
      <c r="X99" s="10"/>
    </row>
    <row r="100" ht="16.5" customHeight="1">
      <c r="A100" s="15"/>
      <c r="B100" s="15"/>
      <c r="C100" s="15"/>
      <c r="D100" s="37"/>
      <c r="E100" s="37"/>
      <c r="F100" s="37"/>
      <c r="G100" s="37"/>
      <c r="H100" s="37"/>
      <c r="I100" s="37"/>
      <c r="J100" s="37"/>
      <c r="K100" s="37"/>
      <c r="L100" s="37"/>
      <c r="M100" s="37"/>
      <c r="N100" s="37"/>
      <c r="O100" s="37"/>
      <c r="P100" s="37"/>
      <c r="Q100" s="37"/>
      <c r="R100" s="37"/>
      <c r="S100" s="37"/>
      <c r="T100" s="37"/>
      <c r="U100" s="37"/>
      <c r="W100" s="10"/>
      <c r="X100" s="10"/>
    </row>
    <row r="101" ht="15.75" customHeight="1">
      <c r="A101" s="1"/>
      <c r="B101" s="17"/>
      <c r="C101" s="17"/>
      <c r="D101" s="18"/>
      <c r="E101" s="19">
        <v>2013.0</v>
      </c>
      <c r="F101" s="19">
        <v>2014.0</v>
      </c>
      <c r="G101" s="19">
        <v>2015.0</v>
      </c>
      <c r="H101" s="19">
        <v>2016.0</v>
      </c>
      <c r="I101" s="19">
        <v>2017.0</v>
      </c>
      <c r="J101" s="20">
        <v>43525.0</v>
      </c>
      <c r="K101" s="21">
        <v>43891.0</v>
      </c>
      <c r="L101" s="21">
        <v>44256.0</v>
      </c>
      <c r="M101" s="21">
        <v>44621.0</v>
      </c>
      <c r="N101" s="21">
        <v>44986.0</v>
      </c>
      <c r="O101" s="21">
        <v>45352.0</v>
      </c>
      <c r="P101" s="21">
        <v>45717.0</v>
      </c>
      <c r="Q101" s="22">
        <v>46082.0</v>
      </c>
      <c r="R101" s="22">
        <v>46447.0</v>
      </c>
      <c r="S101" s="23">
        <v>46814.0</v>
      </c>
      <c r="T101" s="23">
        <v>47180.0</v>
      </c>
      <c r="U101" s="23">
        <v>47546.0</v>
      </c>
      <c r="W101" s="208" t="s">
        <v>71</v>
      </c>
      <c r="X101" s="209"/>
    </row>
    <row r="102" ht="15.75" customHeight="1">
      <c r="A102" s="103"/>
      <c r="B102" s="210" t="s">
        <v>72</v>
      </c>
      <c r="C102" s="211"/>
      <c r="D102" s="212"/>
      <c r="E102" s="212"/>
      <c r="F102" s="212"/>
      <c r="G102" s="212"/>
      <c r="H102" s="212"/>
      <c r="I102" s="212"/>
      <c r="J102" s="213">
        <v>203165.0</v>
      </c>
      <c r="K102" s="213">
        <v>363215.0</v>
      </c>
      <c r="L102" s="213">
        <v>483445.0</v>
      </c>
      <c r="M102" s="213">
        <v>455085.0</v>
      </c>
      <c r="N102" s="213">
        <v>524470.0</v>
      </c>
      <c r="O102" s="214">
        <v>571029.0</v>
      </c>
      <c r="P102" s="215">
        <v>428093.0</v>
      </c>
      <c r="Q102" s="216">
        <f t="shared" ref="Q102:U102" si="84">Q198</f>
        <v>455340.0191</v>
      </c>
      <c r="R102" s="217">
        <f t="shared" si="84"/>
        <v>500541.9684</v>
      </c>
      <c r="S102" s="217">
        <f t="shared" si="84"/>
        <v>558379.6284</v>
      </c>
      <c r="T102" s="217">
        <f t="shared" si="84"/>
        <v>630691.6709</v>
      </c>
      <c r="U102" s="217">
        <f t="shared" si="84"/>
        <v>719051.9981</v>
      </c>
      <c r="V102" s="218"/>
      <c r="W102" s="219"/>
      <c r="X102" s="219"/>
      <c r="Y102" s="218"/>
      <c r="Z102" s="218"/>
      <c r="AA102" s="218"/>
      <c r="AB102" s="218"/>
      <c r="AC102" s="218"/>
      <c r="AD102" s="218"/>
      <c r="AE102" s="218"/>
      <c r="AF102" s="218"/>
      <c r="AG102" s="218"/>
      <c r="AH102" s="218"/>
      <c r="AI102" s="218"/>
      <c r="AJ102" s="218"/>
      <c r="AK102" s="218"/>
      <c r="AL102" s="218"/>
      <c r="AM102" s="218"/>
      <c r="AN102" s="218"/>
      <c r="AO102" s="218"/>
      <c r="AP102" s="218"/>
      <c r="AQ102" s="218"/>
    </row>
    <row r="103" ht="15.75" customHeight="1" outlineLevel="1">
      <c r="A103" s="83"/>
      <c r="B103" s="83" t="s">
        <v>73</v>
      </c>
      <c r="C103" s="83"/>
      <c r="D103" s="220"/>
      <c r="E103" s="220"/>
      <c r="F103" s="220"/>
      <c r="G103" s="220"/>
      <c r="H103" s="220"/>
      <c r="I103" s="220"/>
      <c r="J103" s="221">
        <v>29430.0</v>
      </c>
      <c r="K103" s="222">
        <v>43625.0</v>
      </c>
      <c r="L103" s="222">
        <v>56923.0</v>
      </c>
      <c r="M103" s="222">
        <v>71229.0</v>
      </c>
      <c r="N103" s="222">
        <v>64144.0</v>
      </c>
      <c r="O103" s="222">
        <v>68902.0</v>
      </c>
      <c r="P103" s="223">
        <f t="shared" ref="P103:U103" si="85">P7*P141</f>
        <v>72941.60128</v>
      </c>
      <c r="Q103" s="223">
        <f t="shared" si="85"/>
        <v>76532.82871</v>
      </c>
      <c r="R103" s="223">
        <f t="shared" si="85"/>
        <v>82317.76353</v>
      </c>
      <c r="S103" s="223">
        <f t="shared" si="85"/>
        <v>88142.73904</v>
      </c>
      <c r="T103" s="223">
        <f t="shared" si="85"/>
        <v>94441.05086</v>
      </c>
      <c r="U103" s="223">
        <f t="shared" si="85"/>
        <v>101255.2831</v>
      </c>
      <c r="V103" s="218"/>
      <c r="W103" s="219"/>
      <c r="X103" s="219"/>
      <c r="Y103" s="218"/>
      <c r="Z103" s="218"/>
      <c r="AA103" s="218"/>
      <c r="AB103" s="218"/>
      <c r="AC103" s="218"/>
      <c r="AD103" s="218"/>
      <c r="AE103" s="218"/>
      <c r="AF103" s="218"/>
      <c r="AG103" s="218"/>
      <c r="AH103" s="218"/>
      <c r="AI103" s="218"/>
      <c r="AJ103" s="218"/>
      <c r="AK103" s="218"/>
      <c r="AL103" s="218"/>
      <c r="AM103" s="218"/>
      <c r="AN103" s="218"/>
      <c r="AO103" s="218"/>
      <c r="AP103" s="218"/>
      <c r="AQ103" s="218"/>
    </row>
    <row r="104" ht="15.75" customHeight="1" outlineLevel="1">
      <c r="A104" s="224"/>
      <c r="B104" s="225" t="s">
        <v>74</v>
      </c>
      <c r="C104" s="225"/>
      <c r="D104" s="226"/>
      <c r="E104" s="226"/>
      <c r="F104" s="226"/>
      <c r="G104" s="226"/>
      <c r="H104" s="226"/>
      <c r="I104" s="226"/>
      <c r="J104" s="221">
        <v>8534.0</v>
      </c>
      <c r="K104" s="222">
        <v>14859.0</v>
      </c>
      <c r="L104" s="222">
        <v>27858.0</v>
      </c>
      <c r="M104" s="222">
        <v>30087.0</v>
      </c>
      <c r="N104" s="222">
        <v>28547.0</v>
      </c>
      <c r="O104" s="222">
        <v>25460.0</v>
      </c>
      <c r="P104" s="227">
        <f t="shared" ref="P104:U104" si="86">P7*P142</f>
        <v>26952.67436</v>
      </c>
      <c r="Q104" s="228">
        <f t="shared" si="86"/>
        <v>28279.66995</v>
      </c>
      <c r="R104" s="229">
        <f t="shared" si="86"/>
        <v>30417.26306</v>
      </c>
      <c r="S104" s="229">
        <f t="shared" si="86"/>
        <v>32569.65162</v>
      </c>
      <c r="T104" s="229">
        <f t="shared" si="86"/>
        <v>34896.94283</v>
      </c>
      <c r="U104" s="229">
        <f t="shared" si="86"/>
        <v>37414.87196</v>
      </c>
      <c r="V104" s="230"/>
      <c r="W104" s="231"/>
      <c r="X104" s="219"/>
      <c r="Y104" s="218"/>
      <c r="Z104" s="218"/>
      <c r="AA104" s="218"/>
      <c r="AB104" s="218"/>
      <c r="AC104" s="218"/>
      <c r="AD104" s="218"/>
      <c r="AE104" s="218"/>
      <c r="AF104" s="218"/>
      <c r="AG104" s="218"/>
      <c r="AH104" s="218"/>
      <c r="AI104" s="218"/>
      <c r="AJ104" s="218"/>
      <c r="AK104" s="218"/>
      <c r="AL104" s="218"/>
      <c r="AM104" s="218"/>
      <c r="AN104" s="218"/>
      <c r="AO104" s="218"/>
      <c r="AP104" s="218"/>
      <c r="AQ104" s="218"/>
    </row>
    <row r="105" ht="15.75" customHeight="1" outlineLevel="1">
      <c r="A105" s="103"/>
      <c r="B105" s="232" t="s">
        <v>75</v>
      </c>
      <c r="C105" s="103"/>
      <c r="D105" s="104"/>
      <c r="E105" s="104"/>
      <c r="F105" s="104"/>
      <c r="G105" s="104"/>
      <c r="H105" s="104"/>
      <c r="I105" s="104"/>
      <c r="J105" s="233">
        <v>7049.0</v>
      </c>
      <c r="K105" s="234">
        <v>7547.0</v>
      </c>
      <c r="L105" s="234">
        <v>18532.0</v>
      </c>
      <c r="M105" s="234">
        <v>17902.0</v>
      </c>
      <c r="N105" s="234">
        <v>16794.0</v>
      </c>
      <c r="O105" s="234">
        <v>17784.0</v>
      </c>
      <c r="P105" s="223">
        <f t="shared" ref="P105:U105" si="87">P7*P143</f>
        <v>18826.64418</v>
      </c>
      <c r="Q105" s="223">
        <f t="shared" si="87"/>
        <v>19753.5605</v>
      </c>
      <c r="R105" s="223">
        <f t="shared" si="87"/>
        <v>21246.68524</v>
      </c>
      <c r="S105" s="223">
        <f t="shared" si="87"/>
        <v>22750.14471</v>
      </c>
      <c r="T105" s="223">
        <f t="shared" si="87"/>
        <v>24375.77499</v>
      </c>
      <c r="U105" s="223">
        <f t="shared" si="87"/>
        <v>26134.56728</v>
      </c>
      <c r="V105" s="218"/>
      <c r="W105" s="219"/>
      <c r="X105" s="219"/>
      <c r="Y105" s="218"/>
      <c r="Z105" s="218"/>
      <c r="AA105" s="218"/>
      <c r="AB105" s="218"/>
      <c r="AC105" s="218"/>
      <c r="AD105" s="218"/>
      <c r="AE105" s="218"/>
      <c r="AF105" s="218"/>
      <c r="AG105" s="218"/>
      <c r="AH105" s="218"/>
      <c r="AI105" s="218"/>
      <c r="AJ105" s="218"/>
      <c r="AK105" s="218"/>
      <c r="AL105" s="218"/>
      <c r="AM105" s="218"/>
      <c r="AN105" s="218"/>
      <c r="AO105" s="218"/>
      <c r="AP105" s="218"/>
      <c r="AQ105" s="218"/>
    </row>
    <row r="106" ht="15.75" customHeight="1" outlineLevel="1">
      <c r="A106" s="83"/>
      <c r="B106" s="83" t="s">
        <v>76</v>
      </c>
      <c r="C106" s="83"/>
      <c r="D106" s="220"/>
      <c r="E106" s="220"/>
      <c r="F106" s="220"/>
      <c r="G106" s="220"/>
      <c r="H106" s="220"/>
      <c r="I106" s="220"/>
      <c r="J106" s="221">
        <v>51958.0</v>
      </c>
      <c r="K106" s="222">
        <v>67173.0</v>
      </c>
      <c r="L106" s="222">
        <v>94368.0</v>
      </c>
      <c r="M106" s="222">
        <v>107205.0</v>
      </c>
      <c r="N106" s="222">
        <v>113752.0</v>
      </c>
      <c r="O106" s="222">
        <v>127560.0</v>
      </c>
      <c r="P106" s="223">
        <f t="shared" ref="P106:U106" si="88">P7*P144</f>
        <v>135038.6151</v>
      </c>
      <c r="Q106" s="223">
        <f t="shared" si="88"/>
        <v>141687.1445</v>
      </c>
      <c r="R106" s="223">
        <f t="shared" si="88"/>
        <v>152396.9394</v>
      </c>
      <c r="S106" s="223">
        <f t="shared" si="88"/>
        <v>163180.8625</v>
      </c>
      <c r="T106" s="223">
        <f t="shared" si="88"/>
        <v>174841.0851</v>
      </c>
      <c r="U106" s="223">
        <f t="shared" si="88"/>
        <v>187456.4441</v>
      </c>
      <c r="V106" s="86"/>
      <c r="W106" s="235"/>
      <c r="X106" s="235"/>
      <c r="Y106" s="86"/>
      <c r="Z106" s="86"/>
      <c r="AA106" s="86"/>
      <c r="AB106" s="86"/>
      <c r="AC106" s="86"/>
      <c r="AD106" s="86"/>
      <c r="AE106" s="86"/>
      <c r="AF106" s="86"/>
      <c r="AG106" s="86"/>
      <c r="AH106" s="86"/>
      <c r="AI106" s="86"/>
      <c r="AJ106" s="86"/>
      <c r="AK106" s="86"/>
      <c r="AL106" s="86"/>
      <c r="AM106" s="86"/>
      <c r="AN106" s="86"/>
      <c r="AO106" s="86"/>
      <c r="AP106" s="86"/>
      <c r="AQ106" s="86"/>
    </row>
    <row r="107" ht="15.75" customHeight="1" outlineLevel="1">
      <c r="A107" s="103"/>
      <c r="B107" s="103" t="s">
        <v>77</v>
      </c>
      <c r="C107" s="103"/>
      <c r="D107" s="104"/>
      <c r="E107" s="104"/>
      <c r="F107" s="104"/>
      <c r="G107" s="104"/>
      <c r="H107" s="104"/>
      <c r="I107" s="104"/>
      <c r="J107" s="221">
        <v>20767.0</v>
      </c>
      <c r="K107" s="222">
        <v>22339.0</v>
      </c>
      <c r="L107" s="222">
        <v>32793.0</v>
      </c>
      <c r="M107" s="222">
        <v>37104.0</v>
      </c>
      <c r="N107" s="222">
        <v>35997.0</v>
      </c>
      <c r="O107" s="222">
        <v>37565.0</v>
      </c>
      <c r="P107" s="107">
        <f t="shared" ref="P107:U107" si="89">P7*P145</f>
        <v>39767.3689</v>
      </c>
      <c r="Q107" s="107">
        <f t="shared" si="89"/>
        <v>41725.28679</v>
      </c>
      <c r="R107" s="107">
        <f t="shared" si="89"/>
        <v>44879.20215</v>
      </c>
      <c r="S107" s="107">
        <f t="shared" si="89"/>
        <v>48054.94749</v>
      </c>
      <c r="T107" s="107">
        <f t="shared" si="89"/>
        <v>51488.75323</v>
      </c>
      <c r="U107" s="107">
        <f t="shared" si="89"/>
        <v>55203.83603</v>
      </c>
      <c r="V107" s="218"/>
      <c r="W107" s="219"/>
      <c r="X107" s="219"/>
      <c r="Y107" s="218"/>
      <c r="Z107" s="218"/>
      <c r="AA107" s="218"/>
      <c r="AB107" s="218"/>
      <c r="AC107" s="218"/>
      <c r="AD107" s="218"/>
      <c r="AE107" s="218"/>
      <c r="AF107" s="218"/>
      <c r="AG107" s="218"/>
      <c r="AH107" s="218"/>
      <c r="AI107" s="218"/>
      <c r="AJ107" s="218"/>
      <c r="AK107" s="218"/>
      <c r="AL107" s="218"/>
      <c r="AM107" s="218"/>
      <c r="AN107" s="218"/>
      <c r="AO107" s="218"/>
      <c r="AP107" s="218"/>
      <c r="AQ107" s="218"/>
    </row>
    <row r="108" ht="15.75" customHeight="1">
      <c r="A108" s="163"/>
      <c r="B108" s="163" t="s">
        <v>78</v>
      </c>
      <c r="C108" s="163"/>
      <c r="D108" s="164"/>
      <c r="E108" s="164"/>
      <c r="F108" s="164"/>
      <c r="G108" s="164"/>
      <c r="H108" s="164"/>
      <c r="I108" s="164"/>
      <c r="J108" s="165">
        <f t="shared" ref="J108:U108" si="90">J103+J104+J105-J106-J107</f>
        <v>-27712</v>
      </c>
      <c r="K108" s="165">
        <f t="shared" si="90"/>
        <v>-23481</v>
      </c>
      <c r="L108" s="165">
        <f t="shared" si="90"/>
        <v>-23848</v>
      </c>
      <c r="M108" s="165">
        <f t="shared" si="90"/>
        <v>-25091</v>
      </c>
      <c r="N108" s="165">
        <f t="shared" si="90"/>
        <v>-40264</v>
      </c>
      <c r="O108" s="165">
        <f t="shared" si="90"/>
        <v>-52979</v>
      </c>
      <c r="P108" s="165">
        <f t="shared" si="90"/>
        <v>-56085.06421</v>
      </c>
      <c r="Q108" s="165">
        <f t="shared" si="90"/>
        <v>-58846.37212</v>
      </c>
      <c r="R108" s="165">
        <f t="shared" si="90"/>
        <v>-63294.42968</v>
      </c>
      <c r="S108" s="165">
        <f t="shared" si="90"/>
        <v>-67773.27467</v>
      </c>
      <c r="T108" s="165">
        <f t="shared" si="90"/>
        <v>-72616.06968</v>
      </c>
      <c r="U108" s="165">
        <f t="shared" si="90"/>
        <v>-77855.55781</v>
      </c>
      <c r="V108" s="236"/>
      <c r="W108" s="237"/>
      <c r="X108" s="237"/>
      <c r="Y108" s="236"/>
      <c r="Z108" s="236"/>
      <c r="AA108" s="236"/>
      <c r="AB108" s="236"/>
      <c r="AC108" s="236"/>
      <c r="AD108" s="236"/>
      <c r="AE108" s="236"/>
      <c r="AF108" s="236"/>
      <c r="AG108" s="236"/>
      <c r="AH108" s="236"/>
      <c r="AI108" s="236"/>
      <c r="AJ108" s="236"/>
      <c r="AK108" s="236"/>
      <c r="AL108" s="236"/>
      <c r="AM108" s="236"/>
      <c r="AN108" s="236"/>
      <c r="AO108" s="236"/>
      <c r="AP108" s="236"/>
      <c r="AQ108" s="236"/>
    </row>
    <row r="109" ht="15.75" customHeight="1">
      <c r="A109" s="238"/>
      <c r="B109" s="238"/>
      <c r="C109" s="238" t="s">
        <v>79</v>
      </c>
      <c r="D109" s="239"/>
      <c r="E109" s="239"/>
      <c r="F109" s="239"/>
      <c r="G109" s="239"/>
      <c r="H109" s="239"/>
      <c r="I109" s="239"/>
      <c r="J109" s="240">
        <f t="shared" ref="J109:U109" si="91">J108/J7</f>
        <v>-0.07353706043</v>
      </c>
      <c r="K109" s="240">
        <f t="shared" si="91"/>
        <v>-0.04606728126</v>
      </c>
      <c r="L109" s="240">
        <f t="shared" si="91"/>
        <v>-0.03324740795</v>
      </c>
      <c r="M109" s="240">
        <f t="shared" si="91"/>
        <v>-0.029412868</v>
      </c>
      <c r="N109" s="240">
        <f t="shared" si="91"/>
        <v>-0.0463504116</v>
      </c>
      <c r="O109" s="240">
        <f t="shared" si="91"/>
        <v>-0.05629069412</v>
      </c>
      <c r="P109" s="240">
        <f t="shared" si="91"/>
        <v>-0.05629069412</v>
      </c>
      <c r="Q109" s="240">
        <f t="shared" si="91"/>
        <v>-0.05629069412</v>
      </c>
      <c r="R109" s="240">
        <f t="shared" si="91"/>
        <v>-0.05629069412</v>
      </c>
      <c r="S109" s="240">
        <f t="shared" si="91"/>
        <v>-0.05629069412</v>
      </c>
      <c r="T109" s="240">
        <f t="shared" si="91"/>
        <v>-0.05629069412</v>
      </c>
      <c r="U109" s="240">
        <f t="shared" si="91"/>
        <v>-0.05629069412</v>
      </c>
      <c r="V109" s="241"/>
      <c r="W109" s="242"/>
      <c r="X109" s="242"/>
      <c r="Y109" s="241"/>
      <c r="Z109" s="241"/>
      <c r="AA109" s="241"/>
      <c r="AB109" s="241"/>
      <c r="AC109" s="241"/>
      <c r="AD109" s="241"/>
      <c r="AE109" s="241"/>
      <c r="AF109" s="241"/>
      <c r="AG109" s="241"/>
      <c r="AH109" s="241"/>
      <c r="AI109" s="241"/>
      <c r="AJ109" s="241"/>
      <c r="AK109" s="241"/>
      <c r="AL109" s="241"/>
      <c r="AM109" s="241"/>
      <c r="AN109" s="241"/>
      <c r="AO109" s="241"/>
      <c r="AP109" s="241"/>
      <c r="AQ109" s="241"/>
    </row>
    <row r="110" ht="15.75" customHeight="1">
      <c r="A110" s="15"/>
      <c r="B110" s="15"/>
      <c r="C110" s="15"/>
      <c r="D110" s="37"/>
      <c r="E110" s="37"/>
      <c r="F110" s="37"/>
      <c r="G110" s="37"/>
      <c r="H110" s="37"/>
      <c r="I110" s="37"/>
      <c r="J110" s="243"/>
      <c r="K110" s="244"/>
      <c r="L110" s="244"/>
      <c r="M110" s="244"/>
      <c r="N110" s="244"/>
      <c r="O110" s="244"/>
      <c r="P110" s="244"/>
      <c r="Q110" s="244"/>
      <c r="R110" s="244"/>
      <c r="S110" s="244"/>
      <c r="T110" s="244"/>
      <c r="U110" s="244"/>
      <c r="W110" s="10"/>
      <c r="X110" s="10"/>
    </row>
    <row r="111" ht="15.75" customHeight="1">
      <c r="A111" s="15"/>
      <c r="B111" s="15"/>
      <c r="C111" s="15"/>
      <c r="D111" s="37"/>
      <c r="E111" s="37"/>
      <c r="F111" s="37"/>
      <c r="G111" s="37"/>
      <c r="H111" s="37"/>
      <c r="I111" s="37"/>
      <c r="J111" s="243"/>
      <c r="K111" s="244"/>
      <c r="L111" s="244"/>
      <c r="M111" s="244"/>
      <c r="N111" s="244"/>
      <c r="O111" s="244"/>
      <c r="P111" s="244"/>
      <c r="Q111" s="244"/>
      <c r="R111" s="244"/>
      <c r="S111" s="244"/>
      <c r="T111" s="244"/>
      <c r="U111" s="244"/>
      <c r="W111" s="10"/>
      <c r="X111" s="10"/>
    </row>
    <row r="112" ht="15.75" customHeight="1">
      <c r="A112" s="103"/>
      <c r="B112" s="245" t="s">
        <v>80</v>
      </c>
      <c r="C112" s="246"/>
      <c r="D112" s="247"/>
      <c r="E112" s="247"/>
      <c r="F112" s="247"/>
      <c r="G112" s="247"/>
      <c r="H112" s="247"/>
      <c r="I112" s="247"/>
      <c r="J112" s="248">
        <v>0.0</v>
      </c>
      <c r="K112" s="249">
        <v>21857.0</v>
      </c>
      <c r="L112" s="249">
        <v>32286.0</v>
      </c>
      <c r="M112" s="249">
        <v>35253.0</v>
      </c>
      <c r="N112" s="249">
        <v>34215.0</v>
      </c>
      <c r="O112" s="249">
        <v>34838.0</v>
      </c>
      <c r="P112" s="250">
        <v>36880.0</v>
      </c>
      <c r="Q112" s="251">
        <f t="shared" ref="Q112:U112" si="92">Q7*Q154</f>
        <v>38695.76035</v>
      </c>
      <c r="R112" s="107">
        <f t="shared" si="92"/>
        <v>41620.681</v>
      </c>
      <c r="S112" s="107">
        <f t="shared" si="92"/>
        <v>44565.84663</v>
      </c>
      <c r="T112" s="107">
        <f t="shared" si="92"/>
        <v>47750.33581</v>
      </c>
      <c r="U112" s="107">
        <f t="shared" si="92"/>
        <v>51195.6795</v>
      </c>
      <c r="V112" s="218"/>
      <c r="W112" s="219"/>
      <c r="X112" s="219"/>
      <c r="Y112" s="218"/>
      <c r="Z112" s="218"/>
      <c r="AA112" s="218"/>
      <c r="AB112" s="218"/>
      <c r="AC112" s="218"/>
      <c r="AD112" s="218"/>
      <c r="AE112" s="218"/>
      <c r="AF112" s="218"/>
      <c r="AG112" s="218"/>
      <c r="AH112" s="218"/>
      <c r="AI112" s="218"/>
      <c r="AJ112" s="218"/>
      <c r="AK112" s="218"/>
      <c r="AL112" s="218"/>
      <c r="AM112" s="218"/>
      <c r="AN112" s="218"/>
      <c r="AO112" s="218"/>
      <c r="AP112" s="218"/>
      <c r="AQ112" s="218"/>
    </row>
    <row r="113" ht="15.75" customHeight="1">
      <c r="A113" s="103"/>
      <c r="B113" s="252" t="s">
        <v>81</v>
      </c>
      <c r="C113" s="253"/>
      <c r="D113" s="254"/>
      <c r="E113" s="254"/>
      <c r="F113" s="254"/>
      <c r="G113" s="254"/>
      <c r="H113" s="254"/>
      <c r="I113" s="254"/>
      <c r="J113" s="255">
        <v>134300.0</v>
      </c>
      <c r="K113" s="256">
        <v>125430.0</v>
      </c>
      <c r="L113" s="256">
        <v>149153.0</v>
      </c>
      <c r="M113" s="256">
        <v>141344.0</v>
      </c>
      <c r="N113" s="256">
        <v>161354.0</v>
      </c>
      <c r="O113" s="256">
        <v>170776.0</v>
      </c>
      <c r="P113" s="257">
        <v>210467.0</v>
      </c>
      <c r="Q113" s="258">
        <f t="shared" ref="Q113:U113" si="93">P113+Q186</f>
        <v>210467</v>
      </c>
      <c r="R113" s="259">
        <f t="shared" si="93"/>
        <v>210467</v>
      </c>
      <c r="S113" s="259">
        <f t="shared" si="93"/>
        <v>210467</v>
      </c>
      <c r="T113" s="259">
        <f t="shared" si="93"/>
        <v>210467</v>
      </c>
      <c r="U113" s="259">
        <f t="shared" si="93"/>
        <v>210467</v>
      </c>
      <c r="V113" s="218"/>
      <c r="W113" s="219"/>
      <c r="X113" s="219"/>
      <c r="Y113" s="218"/>
      <c r="Z113" s="218"/>
      <c r="AA113" s="218"/>
      <c r="AB113" s="218"/>
      <c r="AC113" s="218"/>
      <c r="AD113" s="218"/>
      <c r="AE113" s="218"/>
      <c r="AF113" s="218"/>
      <c r="AG113" s="218"/>
      <c r="AH113" s="218"/>
      <c r="AI113" s="218"/>
      <c r="AJ113" s="218"/>
      <c r="AK113" s="218"/>
      <c r="AL113" s="218"/>
      <c r="AM113" s="218"/>
      <c r="AN113" s="218"/>
      <c r="AO113" s="218"/>
      <c r="AP113" s="218"/>
      <c r="AQ113" s="218"/>
    </row>
    <row r="114" ht="15.75" customHeight="1">
      <c r="A114" s="103"/>
      <c r="B114" s="252" t="s">
        <v>82</v>
      </c>
      <c r="C114" s="253"/>
      <c r="D114" s="254"/>
      <c r="E114" s="254"/>
      <c r="F114" s="254"/>
      <c r="G114" s="254"/>
      <c r="H114" s="254"/>
      <c r="I114" s="254"/>
      <c r="J114" s="254"/>
      <c r="K114" s="260">
        <f t="shared" ref="K114:U114" si="94">K112+K113</f>
        <v>147287</v>
      </c>
      <c r="L114" s="260">
        <f t="shared" si="94"/>
        <v>181439</v>
      </c>
      <c r="M114" s="260">
        <f t="shared" si="94"/>
        <v>176597</v>
      </c>
      <c r="N114" s="260">
        <f t="shared" si="94"/>
        <v>195569</v>
      </c>
      <c r="O114" s="260">
        <f t="shared" si="94"/>
        <v>205614</v>
      </c>
      <c r="P114" s="258">
        <f t="shared" si="94"/>
        <v>247347</v>
      </c>
      <c r="Q114" s="258">
        <f t="shared" si="94"/>
        <v>249162.7604</v>
      </c>
      <c r="R114" s="259">
        <f t="shared" si="94"/>
        <v>252087.681</v>
      </c>
      <c r="S114" s="259">
        <f t="shared" si="94"/>
        <v>255032.8466</v>
      </c>
      <c r="T114" s="259">
        <f t="shared" si="94"/>
        <v>258217.3358</v>
      </c>
      <c r="U114" s="259">
        <f t="shared" si="94"/>
        <v>261662.6795</v>
      </c>
      <c r="V114" s="218"/>
      <c r="W114" s="219"/>
      <c r="X114" s="219"/>
      <c r="Y114" s="218"/>
      <c r="Z114" s="218"/>
      <c r="AA114" s="218"/>
      <c r="AB114" s="218"/>
      <c r="AC114" s="218"/>
      <c r="AD114" s="218"/>
      <c r="AE114" s="218"/>
      <c r="AF114" s="218"/>
      <c r="AG114" s="218"/>
      <c r="AH114" s="218"/>
      <c r="AI114" s="218"/>
      <c r="AJ114" s="218"/>
      <c r="AK114" s="218"/>
      <c r="AL114" s="218"/>
      <c r="AM114" s="218"/>
      <c r="AN114" s="218"/>
      <c r="AO114" s="218"/>
      <c r="AP114" s="218"/>
      <c r="AQ114" s="218"/>
    </row>
    <row r="115" ht="15.75" customHeight="1">
      <c r="A115" s="103"/>
      <c r="B115" s="103"/>
      <c r="C115" s="103"/>
      <c r="D115" s="104"/>
      <c r="E115" s="104"/>
      <c r="F115" s="104"/>
      <c r="G115" s="104"/>
      <c r="H115" s="104"/>
      <c r="I115" s="104"/>
      <c r="J115" s="104"/>
      <c r="K115" s="107"/>
      <c r="L115" s="107"/>
      <c r="M115" s="107"/>
      <c r="N115" s="107"/>
      <c r="O115" s="107"/>
      <c r="P115" s="107"/>
      <c r="Q115" s="107"/>
      <c r="R115" s="107"/>
      <c r="S115" s="107"/>
      <c r="T115" s="107"/>
      <c r="U115" s="107"/>
      <c r="V115" s="108"/>
      <c r="W115" s="10"/>
      <c r="X115" s="10"/>
      <c r="Y115" s="108"/>
      <c r="Z115" s="108"/>
      <c r="AA115" s="108"/>
      <c r="AB115" s="108"/>
      <c r="AC115" s="108"/>
      <c r="AD115" s="108"/>
      <c r="AE115" s="108"/>
      <c r="AF115" s="108"/>
      <c r="AG115" s="108"/>
      <c r="AH115" s="108"/>
      <c r="AI115" s="108"/>
      <c r="AJ115" s="108"/>
      <c r="AK115" s="108"/>
      <c r="AL115" s="108"/>
      <c r="AM115" s="108"/>
      <c r="AN115" s="108"/>
      <c r="AO115" s="108"/>
      <c r="AP115" s="108"/>
      <c r="AQ115" s="108"/>
    </row>
    <row r="116" ht="15.75" customHeight="1">
      <c r="A116" s="103"/>
      <c r="B116" s="103"/>
      <c r="C116" s="103"/>
      <c r="D116" s="104"/>
      <c r="E116" s="104"/>
      <c r="F116" s="104"/>
      <c r="G116" s="104"/>
      <c r="H116" s="104"/>
      <c r="I116" s="104"/>
      <c r="J116" s="104"/>
      <c r="K116" s="107"/>
      <c r="L116" s="107"/>
      <c r="M116" s="107"/>
      <c r="N116" s="107"/>
      <c r="O116" s="107"/>
      <c r="P116" s="107"/>
      <c r="Q116" s="107"/>
      <c r="R116" s="107"/>
      <c r="S116" s="107"/>
      <c r="T116" s="107"/>
      <c r="U116" s="107"/>
      <c r="V116" s="108"/>
      <c r="W116" s="10"/>
      <c r="X116" s="10"/>
      <c r="Y116" s="108"/>
      <c r="Z116" s="108"/>
      <c r="AA116" s="108"/>
      <c r="AB116" s="108"/>
      <c r="AC116" s="108"/>
      <c r="AD116" s="108"/>
      <c r="AE116" s="108"/>
      <c r="AF116" s="108"/>
      <c r="AG116" s="108"/>
      <c r="AH116" s="108"/>
      <c r="AI116" s="108"/>
      <c r="AJ116" s="108"/>
      <c r="AK116" s="108"/>
      <c r="AL116" s="108"/>
      <c r="AM116" s="108"/>
      <c r="AN116" s="108"/>
      <c r="AO116" s="108"/>
      <c r="AP116" s="108"/>
      <c r="AQ116" s="108"/>
    </row>
    <row r="117" ht="15.75" customHeight="1">
      <c r="A117" s="163"/>
      <c r="B117" s="261" t="s">
        <v>83</v>
      </c>
      <c r="C117" s="262"/>
      <c r="D117" s="263"/>
      <c r="E117" s="263"/>
      <c r="F117" s="263"/>
      <c r="G117" s="263"/>
      <c r="H117" s="263"/>
      <c r="I117" s="263"/>
      <c r="J117" s="264">
        <v>492257.0</v>
      </c>
      <c r="K117" s="265">
        <v>755401.0</v>
      </c>
      <c r="L117" s="265">
        <v>937470.0</v>
      </c>
      <c r="M117" s="265">
        <v>948479.0</v>
      </c>
      <c r="N117" s="265">
        <v>989657.0</v>
      </c>
      <c r="O117" s="265">
        <v>986544.0</v>
      </c>
      <c r="P117" s="266">
        <v>1009858.0</v>
      </c>
      <c r="Q117" s="267">
        <f t="shared" ref="Q117:U117" si="95">P117+Q66+Q189+Q188</f>
        <v>1015580.161</v>
      </c>
      <c r="R117" s="268">
        <f t="shared" si="95"/>
        <v>1036129.75</v>
      </c>
      <c r="S117" s="268">
        <f t="shared" si="95"/>
        <v>1067836.567</v>
      </c>
      <c r="T117" s="268">
        <f t="shared" si="95"/>
        <v>1112085.305</v>
      </c>
      <c r="U117" s="268">
        <f t="shared" si="95"/>
        <v>1170286.632</v>
      </c>
      <c r="V117" s="89"/>
      <c r="W117" s="269"/>
      <c r="X117" s="269"/>
      <c r="Y117" s="89"/>
      <c r="Z117" s="89"/>
      <c r="AA117" s="89"/>
      <c r="AB117" s="89"/>
      <c r="AC117" s="89"/>
      <c r="AD117" s="89"/>
      <c r="AE117" s="89"/>
      <c r="AF117" s="89"/>
      <c r="AG117" s="89"/>
      <c r="AH117" s="89"/>
      <c r="AI117" s="89"/>
      <c r="AJ117" s="89"/>
      <c r="AK117" s="89"/>
      <c r="AL117" s="89"/>
      <c r="AM117" s="89"/>
      <c r="AN117" s="89"/>
      <c r="AO117" s="89"/>
      <c r="AP117" s="89"/>
      <c r="AQ117" s="89"/>
    </row>
    <row r="118" ht="15.75" customHeight="1">
      <c r="A118" s="103"/>
      <c r="B118" s="270" t="s">
        <v>84</v>
      </c>
      <c r="C118" s="103"/>
      <c r="D118" s="104"/>
      <c r="E118" s="104"/>
      <c r="F118" s="104"/>
      <c r="G118" s="104"/>
      <c r="H118" s="104"/>
      <c r="I118" s="104"/>
      <c r="J118" s="271">
        <v>116326.0</v>
      </c>
      <c r="K118" s="127">
        <v>124250.0</v>
      </c>
      <c r="L118" s="127">
        <v>146164.0</v>
      </c>
      <c r="M118" s="127">
        <v>133714.0</v>
      </c>
      <c r="N118" s="127">
        <v>133264.0</v>
      </c>
      <c r="O118" s="127">
        <v>126055.0</v>
      </c>
      <c r="P118" s="272">
        <v>80248.0</v>
      </c>
      <c r="Q118" s="126">
        <f t="shared" ref="Q118:U118" si="96">P118*(1+Q125)</f>
        <v>-20118.75086</v>
      </c>
      <c r="R118" s="126">
        <f t="shared" si="96"/>
        <v>7375.224363</v>
      </c>
      <c r="S118" s="126">
        <f t="shared" si="96"/>
        <v>-3839.755313</v>
      </c>
      <c r="T118" s="126">
        <f t="shared" si="96"/>
        <v>2693.798879</v>
      </c>
      <c r="U118" s="126">
        <f t="shared" si="96"/>
        <v>-2435.113596</v>
      </c>
      <c r="V118" s="218"/>
      <c r="W118" s="219"/>
      <c r="X118" s="219"/>
      <c r="Y118" s="218"/>
      <c r="Z118" s="218"/>
      <c r="AA118" s="218"/>
      <c r="AB118" s="218"/>
      <c r="AC118" s="218"/>
      <c r="AD118" s="218"/>
      <c r="AE118" s="218"/>
      <c r="AF118" s="218"/>
      <c r="AG118" s="218"/>
      <c r="AH118" s="218"/>
      <c r="AI118" s="218"/>
      <c r="AJ118" s="218"/>
      <c r="AK118" s="218"/>
      <c r="AL118" s="218"/>
      <c r="AM118" s="218"/>
      <c r="AN118" s="218"/>
      <c r="AO118" s="218"/>
      <c r="AP118" s="218"/>
      <c r="AQ118" s="218"/>
    </row>
    <row r="119" ht="15.75" customHeight="1">
      <c r="A119" s="140"/>
      <c r="B119" s="273" t="s">
        <v>85</v>
      </c>
      <c r="C119" s="140"/>
      <c r="D119" s="274"/>
      <c r="E119" s="274"/>
      <c r="F119" s="274"/>
      <c r="G119" s="274"/>
      <c r="H119" s="274"/>
      <c r="I119" s="274"/>
      <c r="J119" s="275">
        <f t="shared" ref="J119:U119" si="97">J117+J118</f>
        <v>608583</v>
      </c>
      <c r="K119" s="275">
        <f t="shared" si="97"/>
        <v>879651</v>
      </c>
      <c r="L119" s="275">
        <f t="shared" si="97"/>
        <v>1083634</v>
      </c>
      <c r="M119" s="275">
        <f t="shared" si="97"/>
        <v>1082193</v>
      </c>
      <c r="N119" s="275">
        <f t="shared" si="97"/>
        <v>1122921</v>
      </c>
      <c r="O119" s="275">
        <f t="shared" si="97"/>
        <v>1112599</v>
      </c>
      <c r="P119" s="275">
        <f t="shared" si="97"/>
        <v>1090106</v>
      </c>
      <c r="Q119" s="275">
        <f t="shared" si="97"/>
        <v>995461.4097</v>
      </c>
      <c r="R119" s="275">
        <f t="shared" si="97"/>
        <v>1043504.975</v>
      </c>
      <c r="S119" s="275">
        <f t="shared" si="97"/>
        <v>1063996.812</v>
      </c>
      <c r="T119" s="275">
        <f t="shared" si="97"/>
        <v>1114779.104</v>
      </c>
      <c r="U119" s="275">
        <f t="shared" si="97"/>
        <v>1167851.518</v>
      </c>
      <c r="V119" s="276"/>
      <c r="W119" s="277"/>
      <c r="X119" s="277"/>
      <c r="Y119" s="276"/>
      <c r="Z119" s="276"/>
      <c r="AA119" s="276"/>
      <c r="AB119" s="276"/>
      <c r="AC119" s="276"/>
      <c r="AD119" s="276"/>
      <c r="AE119" s="276"/>
      <c r="AF119" s="276"/>
      <c r="AG119" s="276"/>
      <c r="AH119" s="276"/>
      <c r="AI119" s="276"/>
      <c r="AJ119" s="276"/>
      <c r="AK119" s="276"/>
      <c r="AL119" s="276"/>
      <c r="AM119" s="276"/>
      <c r="AN119" s="276"/>
      <c r="AO119" s="276"/>
      <c r="AP119" s="276"/>
      <c r="AQ119" s="276"/>
    </row>
    <row r="120" ht="15.75" customHeight="1">
      <c r="A120" s="115"/>
      <c r="B120" s="278" t="s">
        <v>11</v>
      </c>
      <c r="C120" s="279"/>
      <c r="D120" s="280"/>
      <c r="E120" s="280"/>
      <c r="F120" s="280"/>
      <c r="G120" s="280"/>
      <c r="H120" s="280"/>
      <c r="I120" s="280"/>
      <c r="J120" s="281"/>
      <c r="K120" s="282"/>
      <c r="L120" s="283">
        <f t="shared" ref="L120:U120" si="98">(L117/K117)-1</f>
        <v>0.2410229798</v>
      </c>
      <c r="M120" s="283">
        <f t="shared" si="98"/>
        <v>0.01174330912</v>
      </c>
      <c r="N120" s="283">
        <f t="shared" si="98"/>
        <v>0.04341477249</v>
      </c>
      <c r="O120" s="283">
        <f t="shared" si="98"/>
        <v>-0.003145534261</v>
      </c>
      <c r="P120" s="283">
        <f t="shared" si="98"/>
        <v>0.02363199209</v>
      </c>
      <c r="Q120" s="283">
        <f t="shared" si="98"/>
        <v>0.005666302152</v>
      </c>
      <c r="R120" s="145">
        <f t="shared" si="98"/>
        <v>0.02023433556</v>
      </c>
      <c r="S120" s="145">
        <f t="shared" si="98"/>
        <v>0.03060120299</v>
      </c>
      <c r="T120" s="145">
        <f t="shared" si="98"/>
        <v>0.04143774397</v>
      </c>
      <c r="U120" s="145">
        <f t="shared" si="98"/>
        <v>0.05233530727</v>
      </c>
      <c r="W120" s="10"/>
      <c r="X120" s="10"/>
    </row>
    <row r="121" ht="15.75" customHeight="1">
      <c r="A121" s="15"/>
      <c r="B121" s="15"/>
      <c r="C121" s="15"/>
      <c r="D121" s="37"/>
      <c r="E121" s="37"/>
      <c r="F121" s="37"/>
      <c r="G121" s="37"/>
      <c r="H121" s="37"/>
      <c r="I121" s="37"/>
      <c r="J121" s="243"/>
      <c r="K121" s="244"/>
      <c r="L121" s="244"/>
      <c r="M121" s="244"/>
      <c r="N121" s="244"/>
      <c r="O121" s="244"/>
      <c r="P121" s="244"/>
      <c r="Q121" s="244"/>
      <c r="R121" s="244"/>
      <c r="S121" s="244"/>
      <c r="T121" s="244"/>
      <c r="U121" s="244"/>
      <c r="W121" s="10"/>
      <c r="X121" s="10"/>
    </row>
    <row r="122" ht="15.75" customHeight="1">
      <c r="A122" s="284"/>
      <c r="B122" s="285" t="s">
        <v>86</v>
      </c>
      <c r="C122" s="286"/>
      <c r="D122" s="286"/>
      <c r="E122" s="286"/>
      <c r="F122" s="286"/>
      <c r="G122" s="286"/>
      <c r="H122" s="286"/>
      <c r="I122" s="286"/>
      <c r="J122" s="286"/>
      <c r="K122" s="287">
        <f t="shared" ref="K122:U122" si="99">K114-K102</f>
        <v>-215928</v>
      </c>
      <c r="L122" s="287">
        <f t="shared" si="99"/>
        <v>-302006</v>
      </c>
      <c r="M122" s="287">
        <f t="shared" si="99"/>
        <v>-278488</v>
      </c>
      <c r="N122" s="287">
        <f t="shared" si="99"/>
        <v>-328901</v>
      </c>
      <c r="O122" s="287">
        <f t="shared" si="99"/>
        <v>-365415</v>
      </c>
      <c r="P122" s="287">
        <f t="shared" si="99"/>
        <v>-180746</v>
      </c>
      <c r="Q122" s="288">
        <f t="shared" si="99"/>
        <v>-206177.2587</v>
      </c>
      <c r="R122" s="288">
        <f t="shared" si="99"/>
        <v>-248454.2874</v>
      </c>
      <c r="S122" s="288">
        <f t="shared" si="99"/>
        <v>-303346.7818</v>
      </c>
      <c r="T122" s="288">
        <f t="shared" si="99"/>
        <v>-372474.3351</v>
      </c>
      <c r="U122" s="289">
        <f t="shared" si="99"/>
        <v>-457389.3186</v>
      </c>
      <c r="V122" s="284"/>
      <c r="W122" s="284"/>
      <c r="X122" s="284"/>
      <c r="Y122" s="284"/>
      <c r="Z122" s="284"/>
      <c r="AA122" s="284"/>
      <c r="AB122" s="284"/>
      <c r="AC122" s="284"/>
      <c r="AD122" s="284"/>
      <c r="AE122" s="284"/>
      <c r="AF122" s="284"/>
      <c r="AG122" s="284"/>
      <c r="AH122" s="284"/>
      <c r="AI122" s="284"/>
      <c r="AJ122" s="284"/>
      <c r="AK122" s="284"/>
      <c r="AL122" s="284"/>
      <c r="AM122" s="284"/>
      <c r="AN122" s="284"/>
      <c r="AO122" s="284"/>
      <c r="AP122" s="284"/>
      <c r="AQ122" s="284"/>
    </row>
    <row r="123" ht="15.75" customHeight="1">
      <c r="A123" s="284"/>
      <c r="B123" s="290" t="s">
        <v>87</v>
      </c>
      <c r="C123" s="284"/>
      <c r="D123" s="284"/>
      <c r="E123" s="284"/>
      <c r="F123" s="284"/>
      <c r="G123" s="284"/>
      <c r="H123" s="284"/>
      <c r="I123" s="284"/>
      <c r="J123" s="284"/>
      <c r="K123" s="56">
        <f t="shared" ref="K123:U123" si="100">K122-K112</f>
        <v>-237785</v>
      </c>
      <c r="L123" s="56">
        <f t="shared" si="100"/>
        <v>-334292</v>
      </c>
      <c r="M123" s="56">
        <f t="shared" si="100"/>
        <v>-313741</v>
      </c>
      <c r="N123" s="56">
        <f t="shared" si="100"/>
        <v>-363116</v>
      </c>
      <c r="O123" s="56">
        <f t="shared" si="100"/>
        <v>-400253</v>
      </c>
      <c r="P123" s="56">
        <f t="shared" si="100"/>
        <v>-217626</v>
      </c>
      <c r="Q123" s="291">
        <f t="shared" si="100"/>
        <v>-244873.0191</v>
      </c>
      <c r="R123" s="291">
        <f t="shared" si="100"/>
        <v>-290074.9684</v>
      </c>
      <c r="S123" s="291">
        <f t="shared" si="100"/>
        <v>-347912.6284</v>
      </c>
      <c r="T123" s="291">
        <f t="shared" si="100"/>
        <v>-420224.6709</v>
      </c>
      <c r="U123" s="292">
        <f t="shared" si="100"/>
        <v>-508584.9981</v>
      </c>
      <c r="V123" s="284"/>
      <c r="W123" s="284"/>
      <c r="X123" s="284"/>
      <c r="Y123" s="284"/>
      <c r="Z123" s="284"/>
      <c r="AA123" s="284"/>
      <c r="AB123" s="284"/>
      <c r="AC123" s="284"/>
      <c r="AD123" s="284"/>
      <c r="AE123" s="284"/>
      <c r="AF123" s="284"/>
      <c r="AG123" s="284"/>
      <c r="AH123" s="284"/>
      <c r="AI123" s="284"/>
      <c r="AJ123" s="284"/>
      <c r="AK123" s="284"/>
      <c r="AL123" s="284"/>
      <c r="AM123" s="284"/>
      <c r="AN123" s="284"/>
      <c r="AO123" s="284"/>
      <c r="AP123" s="284"/>
      <c r="AQ123" s="284"/>
    </row>
    <row r="124" ht="15.75" customHeight="1">
      <c r="A124" s="284"/>
      <c r="B124" s="293" t="s">
        <v>88</v>
      </c>
      <c r="C124" s="284"/>
      <c r="D124" s="284"/>
      <c r="E124" s="284"/>
      <c r="F124" s="284"/>
      <c r="G124" s="284"/>
      <c r="H124" s="284"/>
      <c r="I124" s="284"/>
      <c r="J124" s="284"/>
      <c r="K124" s="56">
        <f t="shared" ref="K124:U124" si="101">K123/K42</f>
        <v>-2.200734859</v>
      </c>
      <c r="L124" s="56">
        <f t="shared" si="101"/>
        <v>-2.739626786</v>
      </c>
      <c r="M124" s="56">
        <f t="shared" si="101"/>
        <v>-2.927480382</v>
      </c>
      <c r="N124" s="56">
        <f t="shared" si="101"/>
        <v>-3.085045284</v>
      </c>
      <c r="O124" s="56">
        <f t="shared" si="101"/>
        <v>-2.751579439</v>
      </c>
      <c r="P124" s="56">
        <f t="shared" si="101"/>
        <v>-1.418572211</v>
      </c>
      <c r="Q124" s="56">
        <f t="shared" si="101"/>
        <v>-1.485442421</v>
      </c>
      <c r="R124" s="56">
        <f t="shared" si="101"/>
        <v>-1.595512763</v>
      </c>
      <c r="S124" s="56">
        <f t="shared" si="101"/>
        <v>-1.744030418</v>
      </c>
      <c r="T124" s="56">
        <f t="shared" si="101"/>
        <v>-1.919690165</v>
      </c>
      <c r="U124" s="56">
        <f t="shared" si="101"/>
        <v>-2.117081841</v>
      </c>
      <c r="V124" s="284"/>
      <c r="W124" s="284"/>
      <c r="X124" s="284"/>
      <c r="Y124" s="284"/>
      <c r="Z124" s="284"/>
      <c r="AA124" s="284"/>
      <c r="AB124" s="284"/>
      <c r="AC124" s="284"/>
      <c r="AD124" s="284"/>
      <c r="AE124" s="284"/>
      <c r="AF124" s="284"/>
      <c r="AG124" s="284"/>
      <c r="AH124" s="284"/>
      <c r="AI124" s="284"/>
      <c r="AJ124" s="284"/>
      <c r="AK124" s="284"/>
      <c r="AL124" s="284"/>
      <c r="AM124" s="284"/>
      <c r="AN124" s="284"/>
      <c r="AO124" s="284"/>
      <c r="AP124" s="284"/>
      <c r="AQ124" s="284"/>
    </row>
    <row r="125" ht="15.75" customHeight="1">
      <c r="A125" s="284"/>
      <c r="B125" s="293" t="s">
        <v>89</v>
      </c>
      <c r="C125" s="284"/>
      <c r="D125" s="284"/>
      <c r="E125" s="284"/>
      <c r="F125" s="284"/>
      <c r="G125" s="284"/>
      <c r="H125" s="284"/>
      <c r="I125" s="284"/>
      <c r="J125" s="284"/>
      <c r="K125" s="56">
        <f t="shared" ref="K125:U125" si="102">K122/K42</f>
        <v>-1.998445135</v>
      </c>
      <c r="L125" s="56">
        <f t="shared" si="102"/>
        <v>-2.475032986</v>
      </c>
      <c r="M125" s="56">
        <f t="shared" si="102"/>
        <v>-2.598538784</v>
      </c>
      <c r="N125" s="56">
        <f t="shared" si="102"/>
        <v>-2.794353537</v>
      </c>
      <c r="O125" s="56">
        <f t="shared" si="102"/>
        <v>-2.51208211</v>
      </c>
      <c r="P125" s="56">
        <f t="shared" si="102"/>
        <v>-1.178173806</v>
      </c>
      <c r="Q125" s="56">
        <f t="shared" si="102"/>
        <v>-1.250707193</v>
      </c>
      <c r="R125" s="56">
        <f t="shared" si="102"/>
        <v>-1.366584606</v>
      </c>
      <c r="S125" s="56">
        <f t="shared" si="102"/>
        <v>-1.52062895</v>
      </c>
      <c r="T125" s="56">
        <f t="shared" si="102"/>
        <v>-1.701554828</v>
      </c>
      <c r="U125" s="56">
        <f t="shared" si="102"/>
        <v>-1.903970083</v>
      </c>
      <c r="V125" s="284"/>
      <c r="W125" s="284"/>
      <c r="X125" s="284"/>
      <c r="Y125" s="284"/>
      <c r="Z125" s="284"/>
      <c r="AA125" s="284"/>
      <c r="AB125" s="284"/>
      <c r="AC125" s="284"/>
      <c r="AD125" s="284"/>
      <c r="AE125" s="284"/>
      <c r="AF125" s="284"/>
      <c r="AG125" s="284"/>
      <c r="AH125" s="284"/>
      <c r="AI125" s="284"/>
      <c r="AJ125" s="284"/>
      <c r="AK125" s="284"/>
      <c r="AL125" s="284"/>
      <c r="AM125" s="284"/>
      <c r="AN125" s="284"/>
      <c r="AO125" s="284"/>
      <c r="AP125" s="284"/>
      <c r="AQ125" s="284"/>
    </row>
    <row r="126" ht="15.75" customHeight="1">
      <c r="A126" s="284"/>
      <c r="B126" s="294" t="s">
        <v>90</v>
      </c>
      <c r="C126" s="284"/>
      <c r="D126" s="284"/>
      <c r="E126" s="284"/>
      <c r="F126" s="284"/>
      <c r="G126" s="284"/>
      <c r="H126" s="284"/>
      <c r="I126" s="284"/>
      <c r="J126" s="295"/>
      <c r="K126" s="296" t="str">
        <f t="shared" ref="K126:U126" si="103">(((K45*(1+K92))/K127)+((K45*(1+K92))/J127))/2</f>
        <v>#DIV/0!</v>
      </c>
      <c r="L126" s="296">
        <f t="shared" si="103"/>
        <v>0.1412066516</v>
      </c>
      <c r="M126" s="296">
        <f t="shared" si="103"/>
        <v>0.09425488205</v>
      </c>
      <c r="N126" s="296">
        <f t="shared" si="103"/>
        <v>0.1300056196</v>
      </c>
      <c r="O126" s="296">
        <f t="shared" si="103"/>
        <v>0.1646372831</v>
      </c>
      <c r="P126" s="296">
        <f t="shared" si="103"/>
        <v>0.1623128319</v>
      </c>
      <c r="Q126" s="296">
        <f t="shared" si="103"/>
        <v>0.1513563557</v>
      </c>
      <c r="R126" s="296">
        <f t="shared" si="103"/>
        <v>0.1714240111</v>
      </c>
      <c r="S126" s="296">
        <f t="shared" si="103"/>
        <v>0.1937167438</v>
      </c>
      <c r="T126" s="296">
        <f t="shared" si="103"/>
        <v>0.2195586092</v>
      </c>
      <c r="U126" s="296">
        <f t="shared" si="103"/>
        <v>0.2497245893</v>
      </c>
      <c r="V126" s="284"/>
      <c r="W126" s="284"/>
      <c r="X126" s="284"/>
      <c r="Y126" s="284"/>
      <c r="Z126" s="284"/>
      <c r="AA126" s="284"/>
      <c r="AB126" s="284"/>
      <c r="AC126" s="284"/>
      <c r="AD126" s="284"/>
      <c r="AE126" s="284"/>
      <c r="AF126" s="284"/>
      <c r="AG126" s="284"/>
      <c r="AH126" s="284"/>
      <c r="AI126" s="284"/>
      <c r="AJ126" s="284"/>
      <c r="AK126" s="284"/>
      <c r="AL126" s="284"/>
      <c r="AM126" s="284"/>
      <c r="AN126" s="284"/>
      <c r="AO126" s="284"/>
      <c r="AP126" s="284"/>
      <c r="AQ126" s="284"/>
    </row>
    <row r="127" ht="15.75" customHeight="1">
      <c r="A127" s="284"/>
      <c r="B127" s="297" t="s">
        <v>91</v>
      </c>
      <c r="C127" s="284"/>
      <c r="D127" s="284"/>
      <c r="E127" s="284"/>
      <c r="F127" s="284"/>
      <c r="G127" s="284"/>
      <c r="H127" s="284"/>
      <c r="I127" s="284"/>
      <c r="J127" s="284"/>
      <c r="K127" s="85">
        <f t="shared" ref="K127:U127" si="104">K117+K122</f>
        <v>539473</v>
      </c>
      <c r="L127" s="85">
        <f t="shared" si="104"/>
        <v>635464</v>
      </c>
      <c r="M127" s="85">
        <f t="shared" si="104"/>
        <v>669991</v>
      </c>
      <c r="N127" s="85">
        <f t="shared" si="104"/>
        <v>660756</v>
      </c>
      <c r="O127" s="85">
        <f t="shared" si="104"/>
        <v>621129</v>
      </c>
      <c r="P127" s="85">
        <f t="shared" si="104"/>
        <v>829112</v>
      </c>
      <c r="Q127" s="85">
        <f t="shared" si="104"/>
        <v>809402.9018</v>
      </c>
      <c r="R127" s="85">
        <f t="shared" si="104"/>
        <v>787675.4629</v>
      </c>
      <c r="S127" s="85">
        <f t="shared" si="104"/>
        <v>764489.7853</v>
      </c>
      <c r="T127" s="85">
        <f t="shared" si="104"/>
        <v>739610.9703</v>
      </c>
      <c r="U127" s="298">
        <f t="shared" si="104"/>
        <v>712897.3129</v>
      </c>
      <c r="V127" s="284"/>
      <c r="W127" s="299">
        <f>RRI(5,P127,U127)</f>
        <v>-0.02975200181</v>
      </c>
      <c r="X127" s="300"/>
      <c r="Y127" s="301">
        <f>RRI(4,Q127,U127)</f>
        <v>-0.0312414351</v>
      </c>
      <c r="Z127" s="300"/>
      <c r="AA127" s="284"/>
      <c r="AB127" s="284"/>
      <c r="AC127" s="284"/>
      <c r="AD127" s="284"/>
      <c r="AE127" s="284"/>
      <c r="AF127" s="284"/>
      <c r="AG127" s="284"/>
      <c r="AH127" s="284"/>
      <c r="AI127" s="284"/>
      <c r="AJ127" s="284"/>
      <c r="AK127" s="284"/>
      <c r="AL127" s="284"/>
      <c r="AM127" s="284"/>
      <c r="AN127" s="284"/>
      <c r="AO127" s="284"/>
      <c r="AP127" s="284"/>
      <c r="AQ127" s="284"/>
    </row>
    <row r="128" ht="15.75" customHeight="1">
      <c r="A128" s="284"/>
      <c r="B128" s="302" t="s">
        <v>11</v>
      </c>
      <c r="C128" s="284"/>
      <c r="D128" s="284"/>
      <c r="E128" s="284"/>
      <c r="F128" s="284"/>
      <c r="G128" s="284"/>
      <c r="H128" s="284"/>
      <c r="I128" s="284"/>
      <c r="J128" s="295"/>
      <c r="K128" s="303"/>
      <c r="L128" s="304">
        <f t="shared" ref="L128:U128" si="105">(L127/K127)-1</f>
        <v>0.1779347623</v>
      </c>
      <c r="M128" s="304">
        <f t="shared" si="105"/>
        <v>0.05433352637</v>
      </c>
      <c r="N128" s="304">
        <f t="shared" si="105"/>
        <v>-0.01378376724</v>
      </c>
      <c r="O128" s="304">
        <f t="shared" si="105"/>
        <v>-0.05997221365</v>
      </c>
      <c r="P128" s="304">
        <f t="shared" si="105"/>
        <v>0.3348467066</v>
      </c>
      <c r="Q128" s="304">
        <f t="shared" si="105"/>
        <v>-0.02377133386</v>
      </c>
      <c r="R128" s="304">
        <f t="shared" si="105"/>
        <v>-0.02684378681</v>
      </c>
      <c r="S128" s="304">
        <f t="shared" si="105"/>
        <v>-0.0294355717</v>
      </c>
      <c r="T128" s="304">
        <f t="shared" si="105"/>
        <v>-0.03254303134</v>
      </c>
      <c r="U128" s="305">
        <f t="shared" si="105"/>
        <v>-0.03611852504</v>
      </c>
      <c r="V128" s="284"/>
      <c r="W128" s="284"/>
      <c r="X128" s="284"/>
      <c r="Y128" s="284"/>
      <c r="Z128" s="284"/>
      <c r="AA128" s="284"/>
      <c r="AB128" s="284"/>
      <c r="AC128" s="284"/>
      <c r="AD128" s="284"/>
      <c r="AE128" s="284"/>
      <c r="AF128" s="284"/>
      <c r="AG128" s="284"/>
      <c r="AH128" s="284"/>
      <c r="AI128" s="284"/>
      <c r="AJ128" s="284"/>
      <c r="AK128" s="284"/>
      <c r="AL128" s="284"/>
      <c r="AM128" s="284"/>
      <c r="AN128" s="284"/>
      <c r="AO128" s="284"/>
      <c r="AP128" s="284"/>
      <c r="AQ128" s="284"/>
    </row>
    <row r="129" ht="15.75" customHeight="1">
      <c r="A129" s="284"/>
      <c r="B129" s="297" t="s">
        <v>92</v>
      </c>
      <c r="C129" s="284"/>
      <c r="D129" s="284"/>
      <c r="E129" s="284"/>
      <c r="F129" s="284"/>
      <c r="G129" s="284"/>
      <c r="H129" s="284"/>
      <c r="I129" s="284"/>
      <c r="J129" s="284"/>
      <c r="K129" s="85">
        <f t="shared" ref="K129:U129" si="106">K127/K69</f>
        <v>202.1823292</v>
      </c>
      <c r="L129" s="85">
        <f t="shared" si="106"/>
        <v>231.2670367</v>
      </c>
      <c r="M129" s="85">
        <f t="shared" si="106"/>
        <v>246.0145114</v>
      </c>
      <c r="N129" s="85">
        <f t="shared" si="106"/>
        <v>250.3574879</v>
      </c>
      <c r="O129" s="85">
        <f t="shared" si="106"/>
        <v>244.0700544</v>
      </c>
      <c r="P129" s="85">
        <f t="shared" si="106"/>
        <v>343.3531421</v>
      </c>
      <c r="Q129" s="85">
        <f t="shared" si="106"/>
        <v>350.9343591</v>
      </c>
      <c r="R129" s="85">
        <f t="shared" si="106"/>
        <v>355.4252244</v>
      </c>
      <c r="S129" s="85">
        <f t="shared" si="106"/>
        <v>357.4431965</v>
      </c>
      <c r="T129" s="85">
        <f t="shared" si="106"/>
        <v>357.1157156</v>
      </c>
      <c r="U129" s="85">
        <f t="shared" si="106"/>
        <v>354.5189803</v>
      </c>
      <c r="V129" s="284"/>
      <c r="W129" s="299">
        <f>RRI(5,P129,U129)</f>
        <v>0.006421006661</v>
      </c>
      <c r="X129" s="300"/>
      <c r="Y129" s="301">
        <f>RRI(4,Q129,U129)</f>
        <v>0.002543902923</v>
      </c>
      <c r="Z129" s="300"/>
      <c r="AA129" s="284"/>
      <c r="AB129" s="284"/>
      <c r="AC129" s="284"/>
      <c r="AD129" s="284"/>
      <c r="AE129" s="284"/>
      <c r="AF129" s="284"/>
      <c r="AG129" s="284"/>
      <c r="AH129" s="284"/>
      <c r="AI129" s="284"/>
      <c r="AJ129" s="284"/>
      <c r="AK129" s="284"/>
      <c r="AL129" s="284"/>
      <c r="AM129" s="284"/>
      <c r="AN129" s="284"/>
      <c r="AO129" s="284"/>
      <c r="AP129" s="284"/>
      <c r="AQ129" s="284"/>
    </row>
    <row r="130" ht="15.75" customHeight="1">
      <c r="A130" s="284"/>
      <c r="B130" s="302" t="s">
        <v>11</v>
      </c>
      <c r="C130" s="284"/>
      <c r="D130" s="284"/>
      <c r="E130" s="284"/>
      <c r="F130" s="284"/>
      <c r="G130" s="284"/>
      <c r="H130" s="284"/>
      <c r="I130" s="284"/>
      <c r="J130" s="295"/>
      <c r="K130" s="303"/>
      <c r="L130" s="304">
        <f t="shared" ref="L130:U130" si="107">(L129/K129)-1</f>
        <v>0.1438538548</v>
      </c>
      <c r="M130" s="304">
        <f t="shared" si="107"/>
        <v>0.06376816569</v>
      </c>
      <c r="N130" s="304">
        <f t="shared" si="107"/>
        <v>0.01765333483</v>
      </c>
      <c r="O130" s="304">
        <f t="shared" si="107"/>
        <v>-0.0251138226</v>
      </c>
      <c r="P130" s="304">
        <f t="shared" si="107"/>
        <v>0.4067811105</v>
      </c>
      <c r="Q130" s="304">
        <f t="shared" si="107"/>
        <v>0.02207994049</v>
      </c>
      <c r="R130" s="304">
        <f t="shared" si="107"/>
        <v>0.01279688113</v>
      </c>
      <c r="S130" s="304">
        <f t="shared" si="107"/>
        <v>0.005677627738</v>
      </c>
      <c r="T130" s="304">
        <f t="shared" si="107"/>
        <v>-0.0009161758997</v>
      </c>
      <c r="U130" s="305">
        <f t="shared" si="107"/>
        <v>-0.007271411577</v>
      </c>
      <c r="V130" s="284"/>
      <c r="W130" s="284"/>
      <c r="X130" s="284"/>
      <c r="Y130" s="284"/>
      <c r="Z130" s="284"/>
      <c r="AA130" s="284"/>
      <c r="AB130" s="284"/>
      <c r="AC130" s="284"/>
      <c r="AD130" s="284"/>
      <c r="AE130" s="284"/>
      <c r="AF130" s="284"/>
      <c r="AG130" s="284"/>
      <c r="AH130" s="284"/>
      <c r="AI130" s="284"/>
      <c r="AJ130" s="284"/>
      <c r="AK130" s="284"/>
      <c r="AL130" s="284"/>
      <c r="AM130" s="284"/>
      <c r="AN130" s="284"/>
      <c r="AO130" s="284"/>
      <c r="AP130" s="284"/>
      <c r="AQ130" s="284"/>
    </row>
    <row r="131" ht="15.75" customHeight="1">
      <c r="A131" s="284"/>
      <c r="B131" s="290" t="s">
        <v>93</v>
      </c>
      <c r="C131" s="284"/>
      <c r="D131" s="284"/>
      <c r="E131" s="284"/>
      <c r="F131" s="284"/>
      <c r="G131" s="284"/>
      <c r="H131" s="284"/>
      <c r="I131" s="284"/>
      <c r="J131" s="295"/>
      <c r="K131" s="306">
        <f t="shared" ref="K131:U131" si="108">K74/((J117+K117)/2)</f>
        <v>0.120115201</v>
      </c>
      <c r="L131" s="306">
        <f t="shared" si="108"/>
        <v>0.1001093183</v>
      </c>
      <c r="M131" s="306">
        <f t="shared" si="108"/>
        <v>0.0689907131</v>
      </c>
      <c r="N131" s="306">
        <f t="shared" si="108"/>
        <v>0.08917984834</v>
      </c>
      <c r="O131" s="306">
        <f t="shared" si="108"/>
        <v>0.1053150334</v>
      </c>
      <c r="P131" s="306">
        <f t="shared" si="108"/>
        <v>0.1268589908</v>
      </c>
      <c r="Q131" s="306">
        <f t="shared" si="108"/>
        <v>0.1249267833</v>
      </c>
      <c r="R131" s="306">
        <f t="shared" si="108"/>
        <v>0.1365058795</v>
      </c>
      <c r="S131" s="306">
        <f t="shared" si="108"/>
        <v>0.1469003799</v>
      </c>
      <c r="T131" s="306">
        <f t="shared" si="108"/>
        <v>0.1565727308</v>
      </c>
      <c r="U131" s="306">
        <f t="shared" si="108"/>
        <v>0.1652485999</v>
      </c>
      <c r="V131" s="284"/>
      <c r="W131" s="284"/>
      <c r="X131" s="284"/>
      <c r="Y131" s="284"/>
      <c r="Z131" s="284"/>
      <c r="AA131" s="284"/>
      <c r="AB131" s="284"/>
      <c r="AC131" s="284"/>
      <c r="AD131" s="284"/>
      <c r="AE131" s="284"/>
      <c r="AF131" s="284"/>
      <c r="AG131" s="284"/>
      <c r="AH131" s="284"/>
      <c r="AI131" s="284"/>
      <c r="AJ131" s="284"/>
      <c r="AK131" s="284"/>
      <c r="AL131" s="284"/>
      <c r="AM131" s="284"/>
      <c r="AN131" s="284"/>
      <c r="AO131" s="284"/>
      <c r="AP131" s="284"/>
      <c r="AQ131" s="284"/>
    </row>
    <row r="132" ht="15.75" customHeight="1">
      <c r="A132" s="284"/>
      <c r="B132" s="307" t="s">
        <v>94</v>
      </c>
      <c r="C132" s="284"/>
      <c r="D132" s="284"/>
      <c r="E132" s="284"/>
      <c r="F132" s="284"/>
      <c r="G132" s="284"/>
      <c r="H132" s="284"/>
      <c r="I132" s="284"/>
      <c r="J132" s="284"/>
      <c r="K132" s="308">
        <f t="shared" ref="K132:U132" si="109">K119/K69</f>
        <v>329.6733814</v>
      </c>
      <c r="L132" s="308">
        <f t="shared" si="109"/>
        <v>394.3713948</v>
      </c>
      <c r="M132" s="308">
        <f t="shared" si="109"/>
        <v>397.3712813</v>
      </c>
      <c r="N132" s="308">
        <f t="shared" si="109"/>
        <v>425.4697357</v>
      </c>
      <c r="O132" s="308">
        <f t="shared" si="109"/>
        <v>437.1911446</v>
      </c>
      <c r="P132" s="308">
        <f t="shared" si="109"/>
        <v>451.4363806</v>
      </c>
      <c r="Q132" s="308">
        <f t="shared" si="109"/>
        <v>431.604101</v>
      </c>
      <c r="R132" s="308">
        <f t="shared" si="109"/>
        <v>470.8639627</v>
      </c>
      <c r="S132" s="308">
        <f t="shared" si="109"/>
        <v>497.4800563</v>
      </c>
      <c r="T132" s="308">
        <f t="shared" si="109"/>
        <v>538.262889</v>
      </c>
      <c r="U132" s="308">
        <f t="shared" si="109"/>
        <v>580.7646091</v>
      </c>
      <c r="V132" s="284"/>
      <c r="W132" s="299">
        <f>RRI(5,P132,U132)</f>
        <v>0.05167298388</v>
      </c>
      <c r="X132" s="300"/>
      <c r="Y132" s="301">
        <f>RRI(4,Q132,U132)</f>
        <v>0.0770320948</v>
      </c>
      <c r="Z132" s="300"/>
      <c r="AA132" s="284"/>
      <c r="AB132" s="284"/>
      <c r="AC132" s="284"/>
      <c r="AD132" s="284"/>
      <c r="AE132" s="284"/>
      <c r="AF132" s="284"/>
      <c r="AG132" s="284"/>
      <c r="AH132" s="284"/>
      <c r="AI132" s="284"/>
      <c r="AJ132" s="284"/>
      <c r="AK132" s="284"/>
      <c r="AL132" s="284"/>
      <c r="AM132" s="284"/>
      <c r="AN132" s="284"/>
      <c r="AO132" s="284"/>
      <c r="AP132" s="284"/>
      <c r="AQ132" s="284"/>
    </row>
    <row r="133" ht="15.75" customHeight="1">
      <c r="A133" s="284"/>
      <c r="B133" s="309" t="s">
        <v>11</v>
      </c>
      <c r="C133" s="310"/>
      <c r="D133" s="310"/>
      <c r="E133" s="310"/>
      <c r="F133" s="310"/>
      <c r="G133" s="310"/>
      <c r="H133" s="310"/>
      <c r="I133" s="310"/>
      <c r="J133" s="311"/>
      <c r="K133" s="312"/>
      <c r="L133" s="313">
        <f t="shared" ref="L133:U133" si="110">(L132/K132)-1</f>
        <v>0.1962488238</v>
      </c>
      <c r="M133" s="313">
        <f t="shared" si="110"/>
        <v>0.007606754794</v>
      </c>
      <c r="N133" s="313">
        <f t="shared" si="110"/>
        <v>0.07071083334</v>
      </c>
      <c r="O133" s="313">
        <f t="shared" si="110"/>
        <v>0.02754933634</v>
      </c>
      <c r="P133" s="313">
        <f t="shared" si="110"/>
        <v>0.03258354196</v>
      </c>
      <c r="Q133" s="313">
        <f t="shared" si="110"/>
        <v>-0.04393150487</v>
      </c>
      <c r="R133" s="313">
        <f t="shared" si="110"/>
        <v>0.09096267054</v>
      </c>
      <c r="S133" s="313">
        <f t="shared" si="110"/>
        <v>0.05652607921</v>
      </c>
      <c r="T133" s="313">
        <f t="shared" si="110"/>
        <v>0.08197882944</v>
      </c>
      <c r="U133" s="314">
        <f t="shared" si="110"/>
        <v>0.0789608962</v>
      </c>
      <c r="V133" s="284"/>
      <c r="W133" s="284"/>
      <c r="X133" s="284"/>
      <c r="Y133" s="284"/>
      <c r="Z133" s="284"/>
      <c r="AA133" s="284"/>
      <c r="AB133" s="284"/>
      <c r="AC133" s="284"/>
      <c r="AD133" s="284"/>
      <c r="AE133" s="284"/>
      <c r="AF133" s="284"/>
      <c r="AG133" s="284"/>
      <c r="AH133" s="284"/>
      <c r="AI133" s="284"/>
      <c r="AJ133" s="284"/>
      <c r="AK133" s="284"/>
      <c r="AL133" s="284"/>
      <c r="AM133" s="284"/>
      <c r="AN133" s="284"/>
      <c r="AO133" s="284"/>
      <c r="AP133" s="284"/>
      <c r="AQ133" s="284"/>
    </row>
    <row r="134" ht="15.75" customHeight="1">
      <c r="A134" s="284"/>
      <c r="B134" s="284"/>
      <c r="C134" s="284"/>
      <c r="D134" s="284"/>
      <c r="E134" s="284"/>
      <c r="F134" s="284"/>
      <c r="G134" s="284"/>
      <c r="H134" s="284"/>
      <c r="I134" s="284"/>
      <c r="J134" s="295"/>
      <c r="K134" s="303"/>
      <c r="L134" s="303"/>
      <c r="M134" s="303"/>
      <c r="N134" s="303"/>
      <c r="O134" s="303"/>
      <c r="P134" s="303"/>
      <c r="Q134" s="303"/>
      <c r="R134" s="303"/>
      <c r="S134" s="303"/>
      <c r="T134" s="303"/>
      <c r="U134" s="303"/>
      <c r="V134" s="284"/>
      <c r="W134" s="284"/>
      <c r="X134" s="284"/>
      <c r="Y134" s="284"/>
      <c r="Z134" s="284"/>
      <c r="AA134" s="284"/>
      <c r="AB134" s="284"/>
      <c r="AC134" s="284"/>
      <c r="AD134" s="284"/>
      <c r="AE134" s="284"/>
      <c r="AF134" s="284"/>
      <c r="AG134" s="284"/>
      <c r="AH134" s="284"/>
      <c r="AI134" s="284"/>
      <c r="AJ134" s="284"/>
      <c r="AK134" s="284"/>
      <c r="AL134" s="284"/>
      <c r="AM134" s="284"/>
      <c r="AN134" s="284"/>
      <c r="AO134" s="284"/>
      <c r="AP134" s="284"/>
      <c r="AQ134" s="284"/>
    </row>
    <row r="135" ht="15.75" customHeight="1">
      <c r="A135" s="284"/>
      <c r="B135" s="70" t="s">
        <v>95</v>
      </c>
      <c r="C135" s="284"/>
      <c r="D135" s="284"/>
      <c r="E135" s="284"/>
      <c r="F135" s="284"/>
      <c r="G135" s="284"/>
      <c r="H135" s="284"/>
      <c r="I135" s="284"/>
      <c r="J135" s="295"/>
      <c r="K135" s="303"/>
      <c r="L135" s="306">
        <f t="shared" ref="L135:U135" si="111">L133/L131</f>
        <v>1.960345222</v>
      </c>
      <c r="M135" s="306">
        <f t="shared" si="111"/>
        <v>0.110257663</v>
      </c>
      <c r="N135" s="306">
        <f t="shared" si="111"/>
        <v>0.7929014756</v>
      </c>
      <c r="O135" s="306">
        <f t="shared" si="111"/>
        <v>0.2615897793</v>
      </c>
      <c r="P135" s="306">
        <f t="shared" si="111"/>
        <v>0.2568485037</v>
      </c>
      <c r="Q135" s="306">
        <f t="shared" si="111"/>
        <v>-0.3516580167</v>
      </c>
      <c r="R135" s="306">
        <f t="shared" si="111"/>
        <v>0.6663644882</v>
      </c>
      <c r="S135" s="306">
        <f t="shared" si="111"/>
        <v>0.3847919199</v>
      </c>
      <c r="T135" s="306">
        <f t="shared" si="111"/>
        <v>0.5235830597</v>
      </c>
      <c r="U135" s="306">
        <f t="shared" si="111"/>
        <v>0.4778309544</v>
      </c>
      <c r="V135" s="284"/>
      <c r="W135" s="284"/>
      <c r="X135" s="284"/>
      <c r="Y135" s="284"/>
      <c r="Z135" s="284"/>
      <c r="AA135" s="284"/>
      <c r="AB135" s="284"/>
      <c r="AC135" s="284"/>
      <c r="AD135" s="284"/>
      <c r="AE135" s="284"/>
      <c r="AF135" s="284"/>
      <c r="AG135" s="284"/>
      <c r="AH135" s="284"/>
      <c r="AI135" s="284"/>
      <c r="AJ135" s="284"/>
      <c r="AK135" s="284"/>
      <c r="AL135" s="284"/>
      <c r="AM135" s="284"/>
      <c r="AN135" s="284"/>
      <c r="AO135" s="284"/>
      <c r="AP135" s="284"/>
      <c r="AQ135" s="284"/>
    </row>
    <row r="136" ht="15.75" customHeight="1">
      <c r="A136" s="284"/>
      <c r="B136" s="315" t="s">
        <v>96</v>
      </c>
      <c r="C136" s="284"/>
      <c r="D136" s="284"/>
      <c r="E136" s="284"/>
      <c r="F136" s="284"/>
      <c r="G136" s="284"/>
      <c r="H136" s="284"/>
      <c r="I136" s="284"/>
      <c r="J136" s="284"/>
      <c r="K136" s="303"/>
      <c r="L136" s="316">
        <f t="shared" ref="L136:U136" si="112">L120/L131</f>
        <v>2.407597854</v>
      </c>
      <c r="M136" s="316">
        <f t="shared" si="112"/>
        <v>0.1702157956</v>
      </c>
      <c r="N136" s="316">
        <f t="shared" si="112"/>
        <v>0.4868226769</v>
      </c>
      <c r="O136" s="316">
        <f t="shared" si="112"/>
        <v>-0.02986785609</v>
      </c>
      <c r="P136" s="316">
        <f t="shared" si="112"/>
        <v>0.1862855123</v>
      </c>
      <c r="Q136" s="316">
        <f t="shared" si="112"/>
        <v>0.04535698431</v>
      </c>
      <c r="R136" s="316">
        <f t="shared" si="112"/>
        <v>0.1482305058</v>
      </c>
      <c r="S136" s="316">
        <f t="shared" si="112"/>
        <v>0.2083126198</v>
      </c>
      <c r="T136" s="316">
        <f t="shared" si="112"/>
        <v>0.2646549228</v>
      </c>
      <c r="U136" s="316">
        <f t="shared" si="112"/>
        <v>0.3167065095</v>
      </c>
      <c r="V136" s="284"/>
      <c r="W136" s="284"/>
      <c r="X136" s="284"/>
      <c r="Y136" s="284"/>
      <c r="Z136" s="284"/>
      <c r="AA136" s="284"/>
      <c r="AB136" s="284"/>
      <c r="AC136" s="284"/>
      <c r="AD136" s="284"/>
      <c r="AE136" s="284"/>
      <c r="AF136" s="284"/>
      <c r="AG136" s="284"/>
      <c r="AH136" s="284"/>
      <c r="AI136" s="284"/>
      <c r="AJ136" s="284"/>
      <c r="AK136" s="284"/>
      <c r="AL136" s="284"/>
      <c r="AM136" s="284"/>
      <c r="AN136" s="284"/>
      <c r="AO136" s="284"/>
      <c r="AP136" s="284"/>
      <c r="AQ136" s="284"/>
    </row>
    <row r="137" ht="15.75" customHeight="1">
      <c r="A137" s="284"/>
      <c r="B137" s="70" t="s">
        <v>97</v>
      </c>
      <c r="C137" s="284"/>
      <c r="D137" s="284"/>
      <c r="E137" s="284"/>
      <c r="F137" s="284"/>
      <c r="G137" s="284"/>
      <c r="H137" s="284"/>
      <c r="I137" s="284"/>
      <c r="J137" s="284"/>
      <c r="K137" s="303"/>
      <c r="L137" s="306">
        <f t="shared" ref="L137:U137" si="113">L130/L126</f>
        <v>1.018747015</v>
      </c>
      <c r="M137" s="306">
        <f t="shared" si="113"/>
        <v>0.6765502678</v>
      </c>
      <c r="N137" s="306">
        <f t="shared" si="113"/>
        <v>0.1357890135</v>
      </c>
      <c r="O137" s="306">
        <f t="shared" si="113"/>
        <v>-0.1525403124</v>
      </c>
      <c r="P137" s="306">
        <f t="shared" si="113"/>
        <v>2.506154971</v>
      </c>
      <c r="Q137" s="306">
        <f t="shared" si="113"/>
        <v>0.1458804977</v>
      </c>
      <c r="R137" s="306">
        <f t="shared" si="113"/>
        <v>0.07465045911</v>
      </c>
      <c r="S137" s="306">
        <f t="shared" si="113"/>
        <v>0.02930891582</v>
      </c>
      <c r="T137" s="306">
        <f t="shared" si="113"/>
        <v>-0.004172807903</v>
      </c>
      <c r="U137" s="306">
        <f t="shared" si="113"/>
        <v>-0.02911772364</v>
      </c>
      <c r="V137" s="284"/>
      <c r="W137" s="284"/>
      <c r="X137" s="284"/>
      <c r="Y137" s="284"/>
      <c r="Z137" s="284"/>
      <c r="AA137" s="284"/>
      <c r="AB137" s="284"/>
      <c r="AC137" s="284"/>
      <c r="AD137" s="284"/>
      <c r="AE137" s="284"/>
      <c r="AF137" s="284"/>
      <c r="AG137" s="284"/>
      <c r="AH137" s="284"/>
      <c r="AI137" s="284"/>
      <c r="AJ137" s="284"/>
      <c r="AK137" s="284"/>
      <c r="AL137" s="284"/>
      <c r="AM137" s="284"/>
      <c r="AN137" s="284"/>
      <c r="AO137" s="284"/>
      <c r="AP137" s="284"/>
      <c r="AQ137" s="284"/>
    </row>
    <row r="138" ht="15.75" customHeight="1">
      <c r="A138" s="44"/>
      <c r="B138" s="317" t="s">
        <v>98</v>
      </c>
      <c r="C138" s="44"/>
      <c r="D138" s="44"/>
      <c r="E138" s="44"/>
      <c r="F138" s="44"/>
      <c r="G138" s="44"/>
      <c r="H138" s="44"/>
      <c r="I138" s="44"/>
      <c r="J138" s="44"/>
      <c r="K138" s="303"/>
      <c r="L138" s="318">
        <f t="shared" ref="L138:U138" si="114">L128/L126</f>
        <v>1.260101845</v>
      </c>
      <c r="M138" s="318">
        <f t="shared" si="114"/>
        <v>0.5764531787</v>
      </c>
      <c r="N138" s="318">
        <f t="shared" si="114"/>
        <v>-0.1060243956</v>
      </c>
      <c r="O138" s="318">
        <f t="shared" si="114"/>
        <v>-0.3642687277</v>
      </c>
      <c r="P138" s="318">
        <f t="shared" si="114"/>
        <v>2.062971255</v>
      </c>
      <c r="Q138" s="318">
        <f t="shared" si="114"/>
        <v>-0.1570554058</v>
      </c>
      <c r="R138" s="318">
        <f t="shared" si="114"/>
        <v>-0.1565929221</v>
      </c>
      <c r="S138" s="318">
        <f t="shared" si="114"/>
        <v>-0.1519516131</v>
      </c>
      <c r="T138" s="318">
        <f t="shared" si="114"/>
        <v>-0.1482202473</v>
      </c>
      <c r="U138" s="318">
        <f t="shared" si="114"/>
        <v>-0.1446334345</v>
      </c>
      <c r="V138" s="319"/>
      <c r="W138" s="303"/>
      <c r="X138" s="303"/>
      <c r="Y138" s="319"/>
      <c r="Z138" s="319"/>
      <c r="AA138" s="319"/>
      <c r="AB138" s="319"/>
      <c r="AC138" s="319"/>
      <c r="AD138" s="319"/>
      <c r="AE138" s="319"/>
      <c r="AF138" s="319"/>
      <c r="AG138" s="319"/>
      <c r="AH138" s="319"/>
      <c r="AI138" s="319"/>
      <c r="AJ138" s="319"/>
      <c r="AK138" s="319"/>
      <c r="AL138" s="319"/>
      <c r="AM138" s="319"/>
      <c r="AN138" s="319"/>
      <c r="AO138" s="319"/>
      <c r="AP138" s="319"/>
      <c r="AQ138" s="319"/>
    </row>
    <row r="139" ht="13.5" customHeight="1">
      <c r="A139" s="320"/>
      <c r="B139" s="320"/>
      <c r="C139" s="15"/>
      <c r="D139" s="37"/>
      <c r="E139" s="37"/>
      <c r="F139" s="37"/>
      <c r="G139" s="37"/>
      <c r="H139" s="37"/>
      <c r="I139" s="37"/>
      <c r="J139" s="37"/>
      <c r="K139" s="37"/>
      <c r="L139" s="37"/>
      <c r="M139" s="37"/>
      <c r="N139" s="37"/>
      <c r="O139" s="37"/>
      <c r="P139" s="37"/>
      <c r="Q139" s="37"/>
      <c r="R139" s="37"/>
      <c r="S139" s="37"/>
      <c r="T139" s="37"/>
      <c r="U139" s="37"/>
      <c r="W139" s="10"/>
      <c r="X139" s="10"/>
    </row>
    <row r="140" ht="13.5" customHeight="1">
      <c r="A140" s="194"/>
      <c r="B140" s="195" t="s">
        <v>99</v>
      </c>
      <c r="C140" s="196"/>
      <c r="D140" s="197"/>
      <c r="E140" s="197"/>
      <c r="F140" s="197"/>
      <c r="G140" s="197"/>
      <c r="H140" s="197"/>
      <c r="I140" s="197"/>
      <c r="J140" s="197"/>
      <c r="K140" s="197"/>
      <c r="L140" s="197"/>
      <c r="M140" s="197"/>
      <c r="N140" s="197"/>
      <c r="O140" s="197"/>
      <c r="P140" s="197"/>
      <c r="Q140" s="321"/>
      <c r="R140" s="322"/>
      <c r="S140" s="322"/>
      <c r="T140" s="322"/>
      <c r="U140" s="322"/>
      <c r="W140" s="10"/>
      <c r="X140" s="10"/>
    </row>
    <row r="141" ht="15.75" customHeight="1" outlineLevel="1">
      <c r="A141" s="323"/>
      <c r="B141" s="324" t="s">
        <v>100</v>
      </c>
      <c r="C141" s="324"/>
      <c r="D141" s="325"/>
      <c r="E141" s="325"/>
      <c r="F141" s="325"/>
      <c r="G141" s="325"/>
      <c r="H141" s="325"/>
      <c r="I141" s="325"/>
      <c r="J141" s="326"/>
      <c r="K141" s="326">
        <f t="shared" ref="K141:O141" si="115">K103/K7</f>
        <v>0.08558771539</v>
      </c>
      <c r="L141" s="326">
        <f t="shared" si="115"/>
        <v>0.07935852913</v>
      </c>
      <c r="M141" s="326">
        <f t="shared" si="115"/>
        <v>0.08349803414</v>
      </c>
      <c r="N141" s="326">
        <f t="shared" si="115"/>
        <v>0.07384017488</v>
      </c>
      <c r="O141" s="326">
        <f t="shared" si="115"/>
        <v>0.07320903388</v>
      </c>
      <c r="P141" s="326">
        <f t="shared" ref="P141:U141" si="116">O141</f>
        <v>0.07320903388</v>
      </c>
      <c r="Q141" s="327">
        <f t="shared" si="116"/>
        <v>0.07320903388</v>
      </c>
      <c r="R141" s="328">
        <f t="shared" si="116"/>
        <v>0.07320903388</v>
      </c>
      <c r="S141" s="328">
        <f t="shared" si="116"/>
        <v>0.07320903388</v>
      </c>
      <c r="T141" s="328">
        <f t="shared" si="116"/>
        <v>0.07320903388</v>
      </c>
      <c r="U141" s="328">
        <f t="shared" si="116"/>
        <v>0.07320903388</v>
      </c>
      <c r="W141" s="10"/>
      <c r="X141" s="10"/>
    </row>
    <row r="142" ht="15.75" customHeight="1" outlineLevel="1">
      <c r="A142" s="323"/>
      <c r="B142" s="324" t="s">
        <v>101</v>
      </c>
      <c r="C142" s="324"/>
      <c r="D142" s="325"/>
      <c r="E142" s="325"/>
      <c r="F142" s="325"/>
      <c r="G142" s="325"/>
      <c r="H142" s="325"/>
      <c r="I142" s="325"/>
      <c r="J142" s="326"/>
      <c r="K142" s="329">
        <f t="shared" ref="K142:O142" si="117">K104/K7</f>
        <v>0.02915181348</v>
      </c>
      <c r="L142" s="329">
        <f t="shared" si="117"/>
        <v>0.03883790216</v>
      </c>
      <c r="M142" s="329">
        <f t="shared" si="117"/>
        <v>0.0352694177</v>
      </c>
      <c r="N142" s="329">
        <f t="shared" si="117"/>
        <v>0.03286223922</v>
      </c>
      <c r="O142" s="329">
        <f t="shared" si="117"/>
        <v>0.02705149346</v>
      </c>
      <c r="P142" s="326">
        <f t="shared" ref="P142:U142" si="118">O142</f>
        <v>0.02705149346</v>
      </c>
      <c r="Q142" s="327">
        <f t="shared" si="118"/>
        <v>0.02705149346</v>
      </c>
      <c r="R142" s="328">
        <f t="shared" si="118"/>
        <v>0.02705149346</v>
      </c>
      <c r="S142" s="328">
        <f t="shared" si="118"/>
        <v>0.02705149346</v>
      </c>
      <c r="T142" s="328">
        <f t="shared" si="118"/>
        <v>0.02705149346</v>
      </c>
      <c r="U142" s="328">
        <f t="shared" si="118"/>
        <v>0.02705149346</v>
      </c>
      <c r="W142" s="10"/>
      <c r="X142" s="10"/>
    </row>
    <row r="143" ht="15.75" customHeight="1" outlineLevel="1">
      <c r="A143" s="323"/>
      <c r="B143" s="324" t="s">
        <v>102</v>
      </c>
      <c r="C143" s="324"/>
      <c r="D143" s="325"/>
      <c r="E143" s="325"/>
      <c r="F143" s="325"/>
      <c r="G143" s="325"/>
      <c r="H143" s="325"/>
      <c r="I143" s="325"/>
      <c r="J143" s="326"/>
      <c r="K143" s="326">
        <f t="shared" ref="K143:O143" si="119">K105/K7</f>
        <v>0.01480642953</v>
      </c>
      <c r="L143" s="326">
        <f t="shared" si="119"/>
        <v>0.02583616924</v>
      </c>
      <c r="M143" s="326">
        <f t="shared" si="119"/>
        <v>0.02098557901</v>
      </c>
      <c r="N143" s="326">
        <f t="shared" si="119"/>
        <v>0.01933262498</v>
      </c>
      <c r="O143" s="326">
        <f t="shared" si="119"/>
        <v>0.01889567006</v>
      </c>
      <c r="P143" s="326">
        <f t="shared" ref="P143:U143" si="120">O143</f>
        <v>0.01889567006</v>
      </c>
      <c r="Q143" s="327">
        <f t="shared" si="120"/>
        <v>0.01889567006</v>
      </c>
      <c r="R143" s="328">
        <f t="shared" si="120"/>
        <v>0.01889567006</v>
      </c>
      <c r="S143" s="328">
        <f t="shared" si="120"/>
        <v>0.01889567006</v>
      </c>
      <c r="T143" s="328">
        <f t="shared" si="120"/>
        <v>0.01889567006</v>
      </c>
      <c r="U143" s="328">
        <f t="shared" si="120"/>
        <v>0.01889567006</v>
      </c>
      <c r="W143" s="10"/>
      <c r="X143" s="10"/>
    </row>
    <row r="144" ht="15.75" customHeight="1" outlineLevel="1">
      <c r="A144" s="330"/>
      <c r="B144" s="331" t="s">
        <v>103</v>
      </c>
      <c r="C144" s="331"/>
      <c r="D144" s="332"/>
      <c r="E144" s="332"/>
      <c r="F144" s="332"/>
      <c r="G144" s="332"/>
      <c r="H144" s="332"/>
      <c r="I144" s="332"/>
      <c r="J144" s="333"/>
      <c r="K144" s="333">
        <f t="shared" ref="K144:O144" si="121">K106/K7</f>
        <v>0.1317864437</v>
      </c>
      <c r="L144" s="333">
        <f t="shared" si="121"/>
        <v>0.1315620343</v>
      </c>
      <c r="M144" s="333">
        <f t="shared" si="121"/>
        <v>0.1256708188</v>
      </c>
      <c r="N144" s="333">
        <f t="shared" si="121"/>
        <v>0.13094705</v>
      </c>
      <c r="O144" s="333">
        <f t="shared" si="121"/>
        <v>0.1355337198</v>
      </c>
      <c r="P144" s="333">
        <f t="shared" ref="P144:U144" si="122">O144</f>
        <v>0.1355337198</v>
      </c>
      <c r="Q144" s="334">
        <f t="shared" si="122"/>
        <v>0.1355337198</v>
      </c>
      <c r="R144" s="335">
        <f t="shared" si="122"/>
        <v>0.1355337198</v>
      </c>
      <c r="S144" s="335">
        <f t="shared" si="122"/>
        <v>0.1355337198</v>
      </c>
      <c r="T144" s="335">
        <f t="shared" si="122"/>
        <v>0.1355337198</v>
      </c>
      <c r="U144" s="335">
        <f t="shared" si="122"/>
        <v>0.1355337198</v>
      </c>
      <c r="W144" s="10"/>
      <c r="X144" s="10"/>
    </row>
    <row r="145" ht="15.75" customHeight="1" outlineLevel="1">
      <c r="A145" s="330"/>
      <c r="B145" s="331" t="s">
        <v>104</v>
      </c>
      <c r="C145" s="331"/>
      <c r="D145" s="332"/>
      <c r="E145" s="332"/>
      <c r="F145" s="332"/>
      <c r="G145" s="332"/>
      <c r="H145" s="332"/>
      <c r="I145" s="332"/>
      <c r="J145" s="333"/>
      <c r="K145" s="333">
        <f t="shared" ref="K145:O145" si="123">K107/K7</f>
        <v>0.04382679597</v>
      </c>
      <c r="L145" s="333">
        <f t="shared" si="123"/>
        <v>0.04571797421</v>
      </c>
      <c r="M145" s="333">
        <f t="shared" si="123"/>
        <v>0.04349508008</v>
      </c>
      <c r="N145" s="333">
        <f t="shared" si="123"/>
        <v>0.04143840071</v>
      </c>
      <c r="O145" s="333">
        <f t="shared" si="123"/>
        <v>0.03991317172</v>
      </c>
      <c r="P145" s="333">
        <f t="shared" ref="P145:U145" si="124">O145</f>
        <v>0.03991317172</v>
      </c>
      <c r="Q145" s="334">
        <f t="shared" si="124"/>
        <v>0.03991317172</v>
      </c>
      <c r="R145" s="335">
        <f t="shared" si="124"/>
        <v>0.03991317172</v>
      </c>
      <c r="S145" s="335">
        <f t="shared" si="124"/>
        <v>0.03991317172</v>
      </c>
      <c r="T145" s="335">
        <f t="shared" si="124"/>
        <v>0.03991317172</v>
      </c>
      <c r="U145" s="335">
        <f t="shared" si="124"/>
        <v>0.03991317172</v>
      </c>
      <c r="W145" s="10"/>
      <c r="X145" s="10"/>
    </row>
    <row r="146" ht="15.75" customHeight="1" outlineLevel="1">
      <c r="A146" s="15"/>
      <c r="B146" s="15"/>
      <c r="C146" s="15"/>
      <c r="D146" s="37"/>
      <c r="E146" s="37"/>
      <c r="F146" s="37"/>
      <c r="G146" s="37"/>
      <c r="H146" s="37"/>
      <c r="I146" s="37"/>
      <c r="J146" s="336"/>
      <c r="K146" s="336"/>
      <c r="L146" s="336"/>
      <c r="M146" s="336"/>
      <c r="N146" s="336"/>
      <c r="O146" s="336"/>
      <c r="P146" s="336"/>
      <c r="Q146" s="336"/>
      <c r="R146" s="336"/>
      <c r="S146" s="336"/>
      <c r="T146" s="336"/>
      <c r="U146" s="336"/>
      <c r="V146" s="9"/>
      <c r="W146" s="337"/>
      <c r="X146" s="337"/>
      <c r="Y146" s="9"/>
      <c r="Z146" s="9"/>
      <c r="AA146" s="9"/>
      <c r="AB146" s="9"/>
      <c r="AC146" s="9"/>
      <c r="AD146" s="9"/>
      <c r="AE146" s="9"/>
      <c r="AF146" s="9"/>
      <c r="AG146" s="9"/>
      <c r="AH146" s="9"/>
      <c r="AI146" s="9"/>
      <c r="AJ146" s="9"/>
      <c r="AK146" s="9"/>
      <c r="AL146" s="9"/>
      <c r="AM146" s="9"/>
      <c r="AN146" s="9"/>
      <c r="AO146" s="9"/>
      <c r="AP146" s="9"/>
      <c r="AQ146" s="9"/>
    </row>
    <row r="147" ht="15.75" customHeight="1" outlineLevel="1">
      <c r="A147" s="338"/>
      <c r="B147" s="339" t="s">
        <v>105</v>
      </c>
      <c r="C147" s="339"/>
      <c r="D147" s="340"/>
      <c r="E147" s="340"/>
      <c r="F147" s="340"/>
      <c r="G147" s="340"/>
      <c r="H147" s="340"/>
      <c r="I147" s="340"/>
      <c r="J147" s="341"/>
      <c r="K147" s="341">
        <f t="shared" ref="K147:U147" si="125">K108-J108</f>
        <v>4231</v>
      </c>
      <c r="L147" s="341">
        <f t="shared" si="125"/>
        <v>-367</v>
      </c>
      <c r="M147" s="341">
        <f t="shared" si="125"/>
        <v>-1243</v>
      </c>
      <c r="N147" s="341">
        <f t="shared" si="125"/>
        <v>-15173</v>
      </c>
      <c r="O147" s="341">
        <f t="shared" si="125"/>
        <v>-12715</v>
      </c>
      <c r="P147" s="341">
        <f t="shared" si="125"/>
        <v>-3106.064211</v>
      </c>
      <c r="Q147" s="342">
        <f t="shared" si="125"/>
        <v>-2761.307914</v>
      </c>
      <c r="R147" s="343">
        <f t="shared" si="125"/>
        <v>-4448.057556</v>
      </c>
      <c r="S147" s="343">
        <f t="shared" si="125"/>
        <v>-4478.84499</v>
      </c>
      <c r="T147" s="343">
        <f t="shared" si="125"/>
        <v>-4842.795011</v>
      </c>
      <c r="U147" s="343">
        <f t="shared" si="125"/>
        <v>-5239.488123</v>
      </c>
      <c r="V147" s="119"/>
      <c r="W147" s="344"/>
      <c r="X147" s="344"/>
      <c r="Y147" s="119"/>
      <c r="Z147" s="119"/>
      <c r="AA147" s="119"/>
      <c r="AB147" s="119"/>
      <c r="AC147" s="119"/>
      <c r="AD147" s="119"/>
      <c r="AE147" s="119"/>
      <c r="AF147" s="119"/>
      <c r="AG147" s="119"/>
      <c r="AH147" s="119"/>
      <c r="AI147" s="119"/>
      <c r="AJ147" s="119"/>
      <c r="AK147" s="119"/>
      <c r="AL147" s="119"/>
      <c r="AM147" s="119"/>
      <c r="AN147" s="119"/>
      <c r="AO147" s="119"/>
      <c r="AP147" s="119"/>
      <c r="AQ147" s="119"/>
    </row>
    <row r="148" ht="15.75" customHeight="1" outlineLevel="1">
      <c r="A148" s="115"/>
      <c r="B148" s="115"/>
      <c r="C148" s="115"/>
      <c r="D148" s="117"/>
      <c r="E148" s="117"/>
      <c r="F148" s="117"/>
      <c r="G148" s="117"/>
      <c r="H148" s="117"/>
      <c r="I148" s="117"/>
      <c r="J148" s="345"/>
      <c r="K148" s="345"/>
      <c r="L148" s="345"/>
      <c r="M148" s="345"/>
      <c r="N148" s="345"/>
      <c r="O148" s="345"/>
      <c r="P148" s="345"/>
      <c r="Q148" s="345"/>
      <c r="R148" s="345"/>
      <c r="S148" s="345"/>
      <c r="T148" s="345"/>
      <c r="U148" s="345"/>
      <c r="V148" s="119"/>
      <c r="W148" s="344"/>
      <c r="X148" s="344"/>
      <c r="Y148" s="119"/>
      <c r="Z148" s="119"/>
      <c r="AA148" s="119"/>
      <c r="AB148" s="119"/>
      <c r="AC148" s="119"/>
      <c r="AD148" s="119"/>
      <c r="AE148" s="119"/>
      <c r="AF148" s="119"/>
      <c r="AG148" s="119"/>
      <c r="AH148" s="119"/>
      <c r="AI148" s="119"/>
      <c r="AJ148" s="119"/>
      <c r="AK148" s="119"/>
      <c r="AL148" s="119"/>
      <c r="AM148" s="119"/>
      <c r="AN148" s="119"/>
      <c r="AO148" s="119"/>
      <c r="AP148" s="119"/>
      <c r="AQ148" s="119"/>
    </row>
    <row r="149" ht="15.75" customHeight="1" outlineLevel="1">
      <c r="A149" s="115"/>
      <c r="B149" s="115" t="s">
        <v>106</v>
      </c>
      <c r="C149" s="115"/>
      <c r="D149" s="117"/>
      <c r="E149" s="117"/>
      <c r="F149" s="117"/>
      <c r="G149" s="117"/>
      <c r="H149" s="117"/>
      <c r="I149" s="117"/>
      <c r="J149" s="346"/>
      <c r="K149" s="346">
        <f t="shared" ref="K149:O149" si="126">(K103/J7)*365</f>
        <v>42.2538902</v>
      </c>
      <c r="L149" s="346">
        <f t="shared" si="126"/>
        <v>40.76210833</v>
      </c>
      <c r="M149" s="346">
        <f t="shared" si="126"/>
        <v>36.24562066</v>
      </c>
      <c r="N149" s="346">
        <f t="shared" si="126"/>
        <v>27.4453205</v>
      </c>
      <c r="O149" s="346">
        <f t="shared" si="126"/>
        <v>28.95085341</v>
      </c>
      <c r="P149" s="346">
        <f t="shared" ref="P149:U149" si="127">(P103/P7)*365</f>
        <v>26.72129737</v>
      </c>
      <c r="Q149" s="346">
        <f t="shared" si="127"/>
        <v>26.72129737</v>
      </c>
      <c r="R149" s="346">
        <f t="shared" si="127"/>
        <v>26.72129737</v>
      </c>
      <c r="S149" s="346">
        <f t="shared" si="127"/>
        <v>26.72129737</v>
      </c>
      <c r="T149" s="346">
        <f t="shared" si="127"/>
        <v>26.72129737</v>
      </c>
      <c r="U149" s="346">
        <f t="shared" si="127"/>
        <v>26.72129737</v>
      </c>
      <c r="W149" s="10"/>
      <c r="X149" s="10"/>
    </row>
    <row r="150" ht="15.75" customHeight="1" outlineLevel="1">
      <c r="A150" s="115"/>
      <c r="B150" s="115" t="s">
        <v>107</v>
      </c>
      <c r="C150" s="115"/>
      <c r="D150" s="117"/>
      <c r="E150" s="117"/>
      <c r="F150" s="117"/>
      <c r="G150" s="117"/>
      <c r="H150" s="117"/>
      <c r="I150" s="117"/>
      <c r="J150" s="346"/>
      <c r="K150" s="346">
        <f t="shared" ref="K150:U150" si="128">ABS(K104/K30*365)</f>
        <v>19.38964224</v>
      </c>
      <c r="L150" s="346">
        <f t="shared" si="128"/>
        <v>24.23780204</v>
      </c>
      <c r="M150" s="346">
        <f t="shared" si="128"/>
        <v>20.38547071</v>
      </c>
      <c r="N150" s="346">
        <f t="shared" si="128"/>
        <v>18.99448923</v>
      </c>
      <c r="O150" s="346">
        <f t="shared" si="128"/>
        <v>15.84945499</v>
      </c>
      <c r="P150" s="346">
        <f t="shared" si="128"/>
        <v>16.44321041</v>
      </c>
      <c r="Q150" s="346">
        <f t="shared" si="128"/>
        <v>16.56677033</v>
      </c>
      <c r="R150" s="346">
        <f t="shared" si="128"/>
        <v>16.67870796</v>
      </c>
      <c r="S150" s="346">
        <f t="shared" si="128"/>
        <v>16.79216856</v>
      </c>
      <c r="T150" s="346">
        <f t="shared" si="128"/>
        <v>16.90718341</v>
      </c>
      <c r="U150" s="346">
        <f t="shared" si="128"/>
        <v>17.02378468</v>
      </c>
      <c r="W150" s="10"/>
      <c r="X150" s="10"/>
    </row>
    <row r="151" ht="15.75" customHeight="1" outlineLevel="1">
      <c r="A151" s="115"/>
      <c r="B151" s="115" t="s">
        <v>108</v>
      </c>
      <c r="C151" s="115"/>
      <c r="D151" s="117"/>
      <c r="E151" s="117"/>
      <c r="F151" s="117"/>
      <c r="G151" s="117"/>
      <c r="H151" s="117"/>
      <c r="I151" s="117"/>
      <c r="J151" s="346"/>
      <c r="K151" s="346">
        <f t="shared" ref="K151:U151" si="129">ABS(K106/K30*365)</f>
        <v>87.65464959</v>
      </c>
      <c r="L151" s="346">
        <f t="shared" si="129"/>
        <v>82.10470613</v>
      </c>
      <c r="M151" s="346">
        <f t="shared" si="129"/>
        <v>72.63683277</v>
      </c>
      <c r="N151" s="346">
        <f t="shared" si="129"/>
        <v>75.68785297</v>
      </c>
      <c r="O151" s="346">
        <f t="shared" si="129"/>
        <v>79.40913114</v>
      </c>
      <c r="P151" s="346">
        <f t="shared" si="129"/>
        <v>82.38397172</v>
      </c>
      <c r="Q151" s="346">
        <f t="shared" si="129"/>
        <v>83.0030331</v>
      </c>
      <c r="R151" s="346">
        <f t="shared" si="129"/>
        <v>83.56386441</v>
      </c>
      <c r="S151" s="346">
        <f t="shared" si="129"/>
        <v>84.13232607</v>
      </c>
      <c r="T151" s="346">
        <f t="shared" si="129"/>
        <v>84.70857488</v>
      </c>
      <c r="U151" s="346">
        <f t="shared" si="129"/>
        <v>85.29277195</v>
      </c>
      <c r="W151" s="10"/>
      <c r="X151" s="10"/>
    </row>
    <row r="152" ht="15.75" customHeight="1" outlineLevel="1">
      <c r="A152" s="338"/>
      <c r="B152" s="339" t="s">
        <v>109</v>
      </c>
      <c r="C152" s="339"/>
      <c r="D152" s="340"/>
      <c r="E152" s="340"/>
      <c r="F152" s="340"/>
      <c r="G152" s="340"/>
      <c r="H152" s="340"/>
      <c r="I152" s="340"/>
      <c r="J152" s="347"/>
      <c r="K152" s="347">
        <f t="shared" ref="K152:U152" si="130">K149+K150-K151</f>
        <v>-26.01111714</v>
      </c>
      <c r="L152" s="347">
        <f t="shared" si="130"/>
        <v>-17.10479575</v>
      </c>
      <c r="M152" s="347">
        <f t="shared" si="130"/>
        <v>-16.0057414</v>
      </c>
      <c r="N152" s="347">
        <f t="shared" si="130"/>
        <v>-29.24804324</v>
      </c>
      <c r="O152" s="347">
        <f t="shared" si="130"/>
        <v>-34.60882274</v>
      </c>
      <c r="P152" s="347">
        <f t="shared" si="130"/>
        <v>-39.21946394</v>
      </c>
      <c r="Q152" s="348">
        <f t="shared" si="130"/>
        <v>-39.71496541</v>
      </c>
      <c r="R152" s="349">
        <f t="shared" si="130"/>
        <v>-40.16385908</v>
      </c>
      <c r="S152" s="349">
        <f t="shared" si="130"/>
        <v>-40.61886014</v>
      </c>
      <c r="T152" s="349">
        <f t="shared" si="130"/>
        <v>-41.0800941</v>
      </c>
      <c r="U152" s="349">
        <f t="shared" si="130"/>
        <v>-41.5476899</v>
      </c>
      <c r="V152" s="8"/>
      <c r="W152" s="219"/>
      <c r="X152" s="219"/>
      <c r="Y152" s="8"/>
      <c r="Z152" s="8"/>
      <c r="AA152" s="8"/>
      <c r="AB152" s="8"/>
      <c r="AC152" s="8"/>
      <c r="AD152" s="8"/>
      <c r="AE152" s="8"/>
      <c r="AF152" s="8"/>
      <c r="AG152" s="8"/>
      <c r="AH152" s="8"/>
      <c r="AI152" s="8"/>
      <c r="AJ152" s="8"/>
      <c r="AK152" s="8"/>
      <c r="AL152" s="8"/>
      <c r="AM152" s="8"/>
      <c r="AN152" s="8"/>
      <c r="AO152" s="8"/>
      <c r="AP152" s="8"/>
      <c r="AQ152" s="8"/>
    </row>
    <row r="153" outlineLevel="1">
      <c r="W153" s="10"/>
      <c r="X153" s="10"/>
    </row>
    <row r="154" outlineLevel="1">
      <c r="B154" s="160" t="s">
        <v>110</v>
      </c>
      <c r="K154" s="10">
        <f t="shared" ref="K154:P154" si="131">K112/K7</f>
        <v>0.04288116207</v>
      </c>
      <c r="L154" s="10">
        <f t="shared" si="131"/>
        <v>0.04501114613</v>
      </c>
      <c r="M154" s="10">
        <f t="shared" si="131"/>
        <v>0.04132524951</v>
      </c>
      <c r="N154" s="10">
        <f t="shared" si="131"/>
        <v>0.03938702893</v>
      </c>
      <c r="O154" s="10">
        <f t="shared" si="131"/>
        <v>0.03701570814</v>
      </c>
      <c r="P154" s="10">
        <f t="shared" si="131"/>
        <v>0.03701521659</v>
      </c>
      <c r="Q154" s="10">
        <f t="shared" ref="Q154:U154" si="132">P154</f>
        <v>0.03701521659</v>
      </c>
      <c r="R154" s="10">
        <f t="shared" si="132"/>
        <v>0.03701521659</v>
      </c>
      <c r="S154" s="10">
        <f t="shared" si="132"/>
        <v>0.03701521659</v>
      </c>
      <c r="T154" s="10">
        <f t="shared" si="132"/>
        <v>0.03701521659</v>
      </c>
      <c r="U154" s="10">
        <f t="shared" si="132"/>
        <v>0.03701521659</v>
      </c>
      <c r="W154" s="10"/>
      <c r="X154" s="10"/>
    </row>
    <row r="155" ht="15.75" customHeight="1">
      <c r="A155" s="350"/>
      <c r="B155" s="350"/>
      <c r="C155" s="350"/>
      <c r="D155" s="350"/>
      <c r="E155" s="350"/>
      <c r="F155" s="350"/>
      <c r="G155" s="350"/>
      <c r="H155" s="350"/>
      <c r="I155" s="350"/>
      <c r="J155" s="350"/>
      <c r="K155" s="350"/>
      <c r="L155" s="350"/>
      <c r="M155" s="350"/>
      <c r="N155" s="350"/>
      <c r="O155" s="350"/>
      <c r="P155" s="350"/>
      <c r="Q155" s="350"/>
      <c r="R155" s="350"/>
      <c r="S155" s="350"/>
      <c r="T155" s="350"/>
      <c r="U155" s="350"/>
      <c r="W155" s="10"/>
      <c r="X155" s="10"/>
    </row>
    <row r="156" ht="15.75" customHeight="1">
      <c r="A156" s="351"/>
      <c r="B156" s="352" t="s">
        <v>111</v>
      </c>
      <c r="C156" s="14"/>
      <c r="D156" s="14"/>
      <c r="E156" s="14"/>
      <c r="F156" s="14"/>
      <c r="G156" s="14"/>
      <c r="H156" s="14"/>
      <c r="I156" s="14"/>
      <c r="J156" s="14"/>
      <c r="K156" s="14"/>
      <c r="L156" s="14"/>
      <c r="M156" s="14"/>
      <c r="N156" s="14"/>
      <c r="O156" s="14"/>
      <c r="P156" s="14"/>
      <c r="Q156" s="14"/>
      <c r="R156" s="14"/>
      <c r="S156" s="14"/>
      <c r="T156" s="14"/>
      <c r="U156" s="14"/>
      <c r="W156" s="10"/>
      <c r="X156" s="10"/>
    </row>
    <row r="157" ht="15.75" customHeight="1">
      <c r="A157" s="15"/>
      <c r="B157" s="15"/>
      <c r="C157" s="15"/>
      <c r="D157" s="37"/>
      <c r="E157" s="37"/>
      <c r="F157" s="37"/>
      <c r="G157" s="37"/>
      <c r="H157" s="37"/>
      <c r="I157" s="37"/>
      <c r="J157" s="37"/>
      <c r="K157" s="37"/>
      <c r="L157" s="37"/>
      <c r="M157" s="37"/>
      <c r="N157" s="37"/>
      <c r="O157" s="37"/>
      <c r="P157" s="37"/>
      <c r="Q157" s="37"/>
      <c r="R157" s="37"/>
      <c r="S157" s="37"/>
      <c r="T157" s="37"/>
      <c r="U157" s="37"/>
      <c r="W157" s="10"/>
      <c r="X157" s="10"/>
    </row>
    <row r="158" ht="15.75" customHeight="1">
      <c r="A158" s="15"/>
      <c r="B158" s="15"/>
      <c r="C158" s="15"/>
      <c r="D158" s="37"/>
      <c r="E158" s="37"/>
      <c r="F158" s="37"/>
      <c r="G158" s="37"/>
      <c r="H158" s="37"/>
      <c r="I158" s="37"/>
      <c r="J158" s="37"/>
      <c r="K158" s="37"/>
      <c r="L158" s="37"/>
      <c r="M158" s="37"/>
      <c r="N158" s="37"/>
      <c r="O158" s="37"/>
      <c r="P158" s="37"/>
      <c r="Q158" s="37"/>
      <c r="R158" s="37"/>
      <c r="S158" s="37"/>
      <c r="T158" s="37"/>
      <c r="U158" s="37"/>
      <c r="W158" s="10"/>
      <c r="X158" s="10"/>
    </row>
    <row r="159" ht="15.75" customHeight="1">
      <c r="A159" s="1"/>
      <c r="B159" s="17"/>
      <c r="C159" s="17"/>
      <c r="D159" s="18"/>
      <c r="E159" s="19">
        <v>2013.0</v>
      </c>
      <c r="F159" s="19">
        <v>2014.0</v>
      </c>
      <c r="G159" s="19">
        <v>2015.0</v>
      </c>
      <c r="H159" s="19">
        <v>2016.0</v>
      </c>
      <c r="I159" s="19">
        <v>2017.0</v>
      </c>
      <c r="J159" s="20">
        <v>43525.0</v>
      </c>
      <c r="K159" s="21">
        <v>43891.0</v>
      </c>
      <c r="L159" s="21">
        <v>44256.0</v>
      </c>
      <c r="M159" s="21">
        <v>44621.0</v>
      </c>
      <c r="N159" s="21">
        <v>44986.0</v>
      </c>
      <c r="O159" s="21">
        <v>45352.0</v>
      </c>
      <c r="P159" s="21">
        <v>45717.0</v>
      </c>
      <c r="Q159" s="22">
        <v>46082.0</v>
      </c>
      <c r="R159" s="22">
        <v>46447.0</v>
      </c>
      <c r="S159" s="23">
        <v>46814.0</v>
      </c>
      <c r="T159" s="23">
        <v>47180.0</v>
      </c>
      <c r="U159" s="23">
        <v>47546.0</v>
      </c>
      <c r="W159" s="208" t="s">
        <v>71</v>
      </c>
      <c r="X159" s="209"/>
    </row>
    <row r="160" ht="15.75" customHeight="1">
      <c r="A160" s="171"/>
      <c r="B160" s="171" t="s">
        <v>112</v>
      </c>
      <c r="C160" s="171"/>
      <c r="D160" s="172"/>
      <c r="E160" s="172"/>
      <c r="F160" s="172"/>
      <c r="G160" s="172"/>
      <c r="H160" s="172"/>
      <c r="I160" s="172"/>
      <c r="J160" s="233">
        <v>87886.0</v>
      </c>
      <c r="K160" s="222">
        <v>149433.0</v>
      </c>
      <c r="L160" s="222">
        <v>150578.0</v>
      </c>
      <c r="M160" s="222">
        <v>62249.0</v>
      </c>
      <c r="N160" s="222">
        <v>72783.0</v>
      </c>
      <c r="O160" s="222">
        <v>80009.0</v>
      </c>
      <c r="P160" s="223">
        <f t="shared" ref="P160:U160" si="133">P66</f>
        <v>130109</v>
      </c>
      <c r="Q160" s="223">
        <f t="shared" si="133"/>
        <v>124911.4106</v>
      </c>
      <c r="R160" s="223">
        <f t="shared" si="133"/>
        <v>138439.4424</v>
      </c>
      <c r="S160" s="223">
        <f t="shared" si="133"/>
        <v>152978.6774</v>
      </c>
      <c r="T160" s="223">
        <f t="shared" si="133"/>
        <v>169155.4076</v>
      </c>
      <c r="U160" s="223">
        <f t="shared" si="133"/>
        <v>187152.1781</v>
      </c>
      <c r="V160" s="176"/>
      <c r="W160" s="337"/>
      <c r="X160" s="337"/>
      <c r="Y160" s="176"/>
      <c r="Z160" s="176"/>
      <c r="AA160" s="176"/>
      <c r="AB160" s="176"/>
      <c r="AC160" s="176"/>
      <c r="AD160" s="176"/>
      <c r="AE160" s="176"/>
      <c r="AF160" s="176"/>
      <c r="AG160" s="176"/>
      <c r="AH160" s="176"/>
      <c r="AI160" s="176"/>
      <c r="AJ160" s="176"/>
      <c r="AK160" s="176"/>
      <c r="AL160" s="176"/>
      <c r="AM160" s="176"/>
      <c r="AN160" s="176"/>
      <c r="AO160" s="176"/>
      <c r="AP160" s="176"/>
      <c r="AQ160" s="176"/>
    </row>
    <row r="161" ht="15.75" customHeight="1">
      <c r="A161" s="171"/>
      <c r="B161" s="171" t="s">
        <v>113</v>
      </c>
      <c r="C161" s="171"/>
      <c r="D161" s="172"/>
      <c r="E161" s="172"/>
      <c r="F161" s="172"/>
      <c r="G161" s="172"/>
      <c r="H161" s="172"/>
      <c r="I161" s="172"/>
      <c r="J161" s="221">
        <v>36936.0</v>
      </c>
      <c r="K161" s="222">
        <v>42427.0</v>
      </c>
      <c r="L161" s="222">
        <v>47909.0</v>
      </c>
      <c r="M161" s="222">
        <v>48065.0</v>
      </c>
      <c r="N161" s="222">
        <v>46938.0</v>
      </c>
      <c r="O161" s="222">
        <v>44504.0</v>
      </c>
      <c r="P161" s="353">
        <v>34962.0</v>
      </c>
      <c r="Q161" s="227">
        <f t="shared" ref="Q161:U161" si="134">ABS(Q37*Q213)</f>
        <v>39474.51277</v>
      </c>
      <c r="R161" s="227">
        <f t="shared" si="134"/>
        <v>42458.29747</v>
      </c>
      <c r="S161" s="227">
        <f t="shared" si="134"/>
        <v>45462.73457</v>
      </c>
      <c r="T161" s="227">
        <f t="shared" si="134"/>
        <v>48711.31161</v>
      </c>
      <c r="U161" s="227">
        <f t="shared" si="134"/>
        <v>52225.99287</v>
      </c>
      <c r="V161" s="176"/>
      <c r="W161" s="337"/>
      <c r="X161" s="337"/>
      <c r="Y161" s="176"/>
      <c r="Z161" s="176"/>
      <c r="AA161" s="176"/>
      <c r="AB161" s="176"/>
      <c r="AC161" s="176"/>
      <c r="AD161" s="176"/>
      <c r="AE161" s="176"/>
      <c r="AF161" s="176"/>
      <c r="AG161" s="176"/>
      <c r="AH161" s="176"/>
      <c r="AI161" s="176"/>
      <c r="AJ161" s="176"/>
      <c r="AK161" s="176"/>
      <c r="AL161" s="176"/>
      <c r="AM161" s="176"/>
      <c r="AN161" s="176"/>
      <c r="AO161" s="176"/>
      <c r="AP161" s="176"/>
      <c r="AQ161" s="176"/>
    </row>
    <row r="162" ht="15.75" customHeight="1">
      <c r="A162" s="171"/>
      <c r="B162" s="171" t="s">
        <v>114</v>
      </c>
      <c r="C162" s="171"/>
      <c r="D162" s="172"/>
      <c r="E162" s="172"/>
      <c r="F162" s="172"/>
      <c r="G162" s="172"/>
      <c r="H162" s="172"/>
      <c r="I162" s="172"/>
      <c r="J162" s="233">
        <v>144.0</v>
      </c>
      <c r="K162" s="222"/>
      <c r="L162" s="222"/>
      <c r="M162" s="222"/>
      <c r="N162" s="222"/>
      <c r="O162" s="222"/>
      <c r="P162" s="223">
        <f t="shared" ref="P162:U162" si="135">ABS(P37*P214)</f>
        <v>0</v>
      </c>
      <c r="Q162" s="223">
        <f t="shared" si="135"/>
        <v>0</v>
      </c>
      <c r="R162" s="223">
        <f t="shared" si="135"/>
        <v>0</v>
      </c>
      <c r="S162" s="223">
        <f t="shared" si="135"/>
        <v>0</v>
      </c>
      <c r="T162" s="223">
        <f t="shared" si="135"/>
        <v>0</v>
      </c>
      <c r="U162" s="223">
        <f t="shared" si="135"/>
        <v>0</v>
      </c>
      <c r="V162" s="176"/>
      <c r="W162" s="337"/>
      <c r="X162" s="337"/>
      <c r="Y162" s="176"/>
      <c r="Z162" s="176"/>
      <c r="AA162" s="176"/>
      <c r="AB162" s="176"/>
      <c r="AC162" s="176"/>
      <c r="AD162" s="176"/>
      <c r="AE162" s="176"/>
      <c r="AF162" s="176"/>
      <c r="AG162" s="176"/>
      <c r="AH162" s="176"/>
      <c r="AI162" s="176"/>
      <c r="AJ162" s="176"/>
      <c r="AK162" s="176"/>
      <c r="AL162" s="176"/>
      <c r="AM162" s="176"/>
      <c r="AN162" s="176"/>
      <c r="AO162" s="176"/>
      <c r="AP162" s="176"/>
      <c r="AQ162" s="176"/>
    </row>
    <row r="163" ht="15.75" customHeight="1">
      <c r="A163" s="171"/>
      <c r="B163" s="171" t="s">
        <v>115</v>
      </c>
      <c r="C163" s="171"/>
      <c r="D163" s="172"/>
      <c r="E163" s="172"/>
      <c r="F163" s="172"/>
      <c r="G163" s="172"/>
      <c r="H163" s="172"/>
      <c r="I163" s="172"/>
      <c r="J163" s="354">
        <v>59.0</v>
      </c>
      <c r="K163" s="222">
        <v>-10066.0</v>
      </c>
      <c r="L163" s="233">
        <v>-308.0</v>
      </c>
      <c r="M163" s="222">
        <v>-1031.0</v>
      </c>
      <c r="N163" s="222">
        <v>-177.0</v>
      </c>
      <c r="O163" s="222">
        <v>-1657.0</v>
      </c>
      <c r="P163" s="223"/>
      <c r="Q163" s="223">
        <f t="shared" ref="Q163:U163" si="136">Q7*Q215</f>
        <v>-1840.51112</v>
      </c>
      <c r="R163" s="223">
        <f t="shared" si="136"/>
        <v>-1979.630985</v>
      </c>
      <c r="S163" s="223">
        <f t="shared" si="136"/>
        <v>-2119.713776</v>
      </c>
      <c r="T163" s="223">
        <f t="shared" si="136"/>
        <v>-2271.179665</v>
      </c>
      <c r="U163" s="223">
        <f t="shared" si="136"/>
        <v>-2435.052743</v>
      </c>
      <c r="V163" s="176"/>
      <c r="W163" s="337"/>
      <c r="X163" s="337"/>
      <c r="Y163" s="176"/>
      <c r="Z163" s="176"/>
      <c r="AA163" s="176"/>
      <c r="AB163" s="176"/>
      <c r="AC163" s="176"/>
      <c r="AD163" s="176"/>
      <c r="AE163" s="176"/>
      <c r="AF163" s="176"/>
      <c r="AG163" s="176"/>
      <c r="AH163" s="176"/>
      <c r="AI163" s="176"/>
      <c r="AJ163" s="176"/>
      <c r="AK163" s="176"/>
      <c r="AL163" s="176"/>
      <c r="AM163" s="176"/>
      <c r="AN163" s="176"/>
      <c r="AO163" s="176"/>
      <c r="AP163" s="176"/>
      <c r="AQ163" s="176"/>
    </row>
    <row r="164" ht="15.75" customHeight="1">
      <c r="A164" s="171"/>
      <c r="B164" s="171" t="s">
        <v>116</v>
      </c>
      <c r="C164" s="171"/>
      <c r="D164" s="172"/>
      <c r="E164" s="172"/>
      <c r="F164" s="172"/>
      <c r="G164" s="172"/>
      <c r="H164" s="172"/>
      <c r="I164" s="172"/>
      <c r="J164" s="233">
        <v>1685.0</v>
      </c>
      <c r="K164" s="222">
        <v>5862.0</v>
      </c>
      <c r="L164" s="222">
        <v>1938.0</v>
      </c>
      <c r="M164" s="222">
        <v>27364.0</v>
      </c>
      <c r="N164" s="222">
        <v>5136.0</v>
      </c>
      <c r="O164" s="222">
        <v>21902.0</v>
      </c>
      <c r="P164" s="355">
        <v>634.0</v>
      </c>
      <c r="Q164" s="223">
        <f t="shared" ref="Q164:U164" si="137">Q7*Q216</f>
        <v>24327.62495</v>
      </c>
      <c r="R164" s="223">
        <f t="shared" si="137"/>
        <v>26166.49236</v>
      </c>
      <c r="S164" s="223">
        <f t="shared" si="137"/>
        <v>28018.08758</v>
      </c>
      <c r="T164" s="223">
        <f t="shared" si="137"/>
        <v>30020.14304</v>
      </c>
      <c r="U164" s="223">
        <f t="shared" si="137"/>
        <v>32186.19504</v>
      </c>
      <c r="V164" s="176"/>
      <c r="W164" s="337"/>
      <c r="X164" s="337"/>
      <c r="Y164" s="176"/>
      <c r="Z164" s="176"/>
      <c r="AA164" s="176"/>
      <c r="AB164" s="176"/>
      <c r="AC164" s="176"/>
      <c r="AD164" s="176"/>
      <c r="AE164" s="176"/>
      <c r="AF164" s="176"/>
      <c r="AG164" s="176"/>
      <c r="AH164" s="176"/>
      <c r="AI164" s="176"/>
      <c r="AJ164" s="176"/>
      <c r="AK164" s="176"/>
      <c r="AL164" s="176"/>
      <c r="AM164" s="176"/>
      <c r="AN164" s="176"/>
      <c r="AO164" s="176"/>
      <c r="AP164" s="176"/>
      <c r="AQ164" s="176"/>
    </row>
    <row r="165" ht="15.75" customHeight="1">
      <c r="A165" s="171"/>
      <c r="B165" s="356" t="s">
        <v>117</v>
      </c>
      <c r="C165" s="171"/>
      <c r="D165" s="172"/>
      <c r="E165" s="172"/>
      <c r="F165" s="172"/>
      <c r="G165" s="172"/>
      <c r="H165" s="172"/>
      <c r="I165" s="172"/>
      <c r="J165" s="222">
        <v>-36010.0</v>
      </c>
      <c r="K165" s="222">
        <v>21889.0</v>
      </c>
      <c r="L165" s="357">
        <v>-66836.0</v>
      </c>
      <c r="M165" s="357">
        <v>15091.0</v>
      </c>
      <c r="N165" s="357">
        <v>36373.0</v>
      </c>
      <c r="O165" s="357">
        <v>43469.0</v>
      </c>
      <c r="P165" s="223"/>
      <c r="Q165" s="223">
        <f t="shared" ref="Q165:U165" si="138">Q7*Q217</f>
        <v>48283.14898</v>
      </c>
      <c r="R165" s="223">
        <f t="shared" si="138"/>
        <v>51932.75758</v>
      </c>
      <c r="S165" s="223">
        <f t="shared" si="138"/>
        <v>55607.62711</v>
      </c>
      <c r="T165" s="223">
        <f t="shared" si="138"/>
        <v>59581.11578</v>
      </c>
      <c r="U165" s="223">
        <f t="shared" si="138"/>
        <v>63880.08913</v>
      </c>
      <c r="V165" s="176"/>
      <c r="W165" s="337"/>
      <c r="X165" s="337"/>
      <c r="Y165" s="176"/>
      <c r="Z165" s="176"/>
      <c r="AA165" s="176"/>
      <c r="AB165" s="176"/>
      <c r="AC165" s="176"/>
      <c r="AD165" s="176"/>
      <c r="AE165" s="176"/>
      <c r="AF165" s="176"/>
      <c r="AG165" s="176"/>
      <c r="AH165" s="176"/>
      <c r="AI165" s="176"/>
      <c r="AJ165" s="176"/>
      <c r="AK165" s="176"/>
      <c r="AL165" s="176"/>
      <c r="AM165" s="176"/>
      <c r="AN165" s="176"/>
      <c r="AO165" s="176"/>
      <c r="AP165" s="176"/>
      <c r="AQ165" s="176"/>
    </row>
    <row r="166" ht="15.75" customHeight="1">
      <c r="A166" s="171"/>
      <c r="B166" s="171" t="s">
        <v>118</v>
      </c>
      <c r="C166" s="171"/>
      <c r="D166" s="172"/>
      <c r="E166" s="172"/>
      <c r="F166" s="172"/>
      <c r="G166" s="172"/>
      <c r="H166" s="172"/>
      <c r="I166" s="172"/>
      <c r="J166" s="233">
        <v>37491.0</v>
      </c>
      <c r="K166" s="233">
        <v>31742.0</v>
      </c>
      <c r="L166" s="233">
        <v>50120.0</v>
      </c>
      <c r="M166" s="233">
        <v>23971.0</v>
      </c>
      <c r="N166" s="233">
        <v>30831.0</v>
      </c>
      <c r="O166" s="233">
        <v>18546.0</v>
      </c>
      <c r="P166" s="223"/>
      <c r="Q166" s="223">
        <f t="shared" ref="Q166:U166" si="139">Q7*Q218</f>
        <v>20599.95125</v>
      </c>
      <c r="R166" s="223">
        <f t="shared" si="139"/>
        <v>22157.05266</v>
      </c>
      <c r="S166" s="223">
        <f t="shared" si="139"/>
        <v>23724.93162</v>
      </c>
      <c r="T166" s="223">
        <f t="shared" si="139"/>
        <v>25420.21609</v>
      </c>
      <c r="U166" s="223">
        <f t="shared" si="139"/>
        <v>27254.36824</v>
      </c>
      <c r="V166" s="176"/>
      <c r="W166" s="337"/>
      <c r="X166" s="337"/>
      <c r="Y166" s="176"/>
      <c r="Z166" s="176"/>
      <c r="AA166" s="176"/>
      <c r="AB166" s="176"/>
      <c r="AC166" s="176"/>
      <c r="AD166" s="176"/>
      <c r="AE166" s="176"/>
      <c r="AF166" s="176"/>
      <c r="AG166" s="176"/>
      <c r="AH166" s="176"/>
      <c r="AI166" s="176"/>
      <c r="AJ166" s="176"/>
      <c r="AK166" s="176"/>
      <c r="AL166" s="176"/>
      <c r="AM166" s="176"/>
      <c r="AN166" s="176"/>
      <c r="AO166" s="176"/>
      <c r="AP166" s="176"/>
      <c r="AQ166" s="176"/>
    </row>
    <row r="167" ht="15.75" customHeight="1">
      <c r="A167" s="171"/>
      <c r="B167" s="356" t="s">
        <v>119</v>
      </c>
      <c r="C167" s="171"/>
      <c r="D167" s="172"/>
      <c r="E167" s="172"/>
      <c r="F167" s="172"/>
      <c r="G167" s="172"/>
      <c r="H167" s="172"/>
      <c r="I167" s="172"/>
      <c r="J167" s="233">
        <v>-9466.0</v>
      </c>
      <c r="K167" s="222">
        <v>-82098.0</v>
      </c>
      <c r="L167" s="222">
        <v>-2123.0</v>
      </c>
      <c r="M167" s="222">
        <v>-14800.0</v>
      </c>
      <c r="N167" s="222">
        <v>-5614.0</v>
      </c>
      <c r="O167" s="222">
        <v>-10431.0</v>
      </c>
      <c r="P167" s="355">
        <v>-2196.0</v>
      </c>
      <c r="Q167" s="223">
        <f t="shared" ref="Q167:U167" si="140">Q7*Q219</f>
        <v>-11586.22299</v>
      </c>
      <c r="R167" s="223">
        <f t="shared" si="140"/>
        <v>-12461.99807</v>
      </c>
      <c r="S167" s="223">
        <f t="shared" si="140"/>
        <v>-13343.83488</v>
      </c>
      <c r="T167" s="223">
        <f t="shared" si="140"/>
        <v>-14297.32956</v>
      </c>
      <c r="U167" s="223">
        <f t="shared" si="140"/>
        <v>-15328.92889</v>
      </c>
      <c r="V167" s="176"/>
      <c r="W167" s="337"/>
      <c r="X167" s="337"/>
      <c r="Y167" s="176"/>
      <c r="Z167" s="176"/>
      <c r="AA167" s="176"/>
      <c r="AB167" s="176"/>
      <c r="AC167" s="176"/>
      <c r="AD167" s="176"/>
      <c r="AE167" s="176"/>
      <c r="AF167" s="176"/>
      <c r="AG167" s="176"/>
      <c r="AH167" s="176"/>
      <c r="AI167" s="176"/>
      <c r="AJ167" s="176"/>
      <c r="AK167" s="176"/>
      <c r="AL167" s="176"/>
      <c r="AM167" s="176"/>
      <c r="AN167" s="176"/>
      <c r="AO167" s="176"/>
      <c r="AP167" s="176"/>
      <c r="AQ167" s="176"/>
    </row>
    <row r="168" ht="15.75" customHeight="1">
      <c r="A168" s="171"/>
      <c r="B168" s="171" t="s">
        <v>120</v>
      </c>
      <c r="C168" s="171"/>
      <c r="D168" s="172"/>
      <c r="E168" s="172"/>
      <c r="F168" s="172"/>
      <c r="G168" s="172"/>
      <c r="H168" s="172"/>
      <c r="I168" s="172"/>
      <c r="J168" s="233">
        <v>32250.0</v>
      </c>
      <c r="K168" s="358">
        <v>21418.0</v>
      </c>
      <c r="L168" s="358">
        <v>50508.0</v>
      </c>
      <c r="M168" s="358">
        <v>-18150.0</v>
      </c>
      <c r="N168" s="358">
        <v>13482.0</v>
      </c>
      <c r="O168" s="358">
        <v>-13749.0</v>
      </c>
      <c r="P168" s="223"/>
      <c r="Q168" s="223">
        <f t="shared" ref="Q168:U168" si="141">-Q147</f>
        <v>2761.307914</v>
      </c>
      <c r="R168" s="223">
        <f t="shared" si="141"/>
        <v>4448.057556</v>
      </c>
      <c r="S168" s="223">
        <f t="shared" si="141"/>
        <v>4478.84499</v>
      </c>
      <c r="T168" s="223">
        <f t="shared" si="141"/>
        <v>4842.795011</v>
      </c>
      <c r="U168" s="223">
        <f t="shared" si="141"/>
        <v>5239.488123</v>
      </c>
      <c r="V168" s="176"/>
      <c r="W168" s="337"/>
      <c r="X168" s="337"/>
      <c r="Y168" s="176"/>
      <c r="Z168" s="176"/>
      <c r="AA168" s="176"/>
      <c r="AB168" s="176"/>
      <c r="AC168" s="176"/>
      <c r="AD168" s="176"/>
      <c r="AE168" s="176"/>
      <c r="AF168" s="176"/>
      <c r="AG168" s="176"/>
      <c r="AH168" s="176"/>
      <c r="AI168" s="176"/>
      <c r="AJ168" s="176"/>
      <c r="AK168" s="176"/>
      <c r="AL168" s="176"/>
      <c r="AM168" s="176"/>
      <c r="AN168" s="176"/>
      <c r="AO168" s="176"/>
      <c r="AP168" s="176"/>
      <c r="AQ168" s="176"/>
    </row>
    <row r="169" ht="15.75" customHeight="1">
      <c r="A169" s="171"/>
      <c r="B169" s="171" t="s">
        <v>121</v>
      </c>
      <c r="C169" s="171"/>
      <c r="D169" s="172"/>
      <c r="E169" s="172"/>
      <c r="F169" s="172"/>
      <c r="G169" s="172"/>
      <c r="H169" s="172"/>
      <c r="I169" s="172"/>
      <c r="J169" s="359"/>
      <c r="K169" s="359"/>
      <c r="L169" s="359"/>
      <c r="M169" s="359"/>
      <c r="N169" s="359"/>
      <c r="O169" s="223"/>
      <c r="P169" s="223"/>
      <c r="Q169" s="223"/>
      <c r="R169" s="223"/>
      <c r="S169" s="223"/>
      <c r="T169" s="223"/>
      <c r="U169" s="223"/>
      <c r="V169" s="176"/>
      <c r="W169" s="337"/>
      <c r="X169" s="337"/>
      <c r="Y169" s="176"/>
      <c r="Z169" s="176"/>
      <c r="AA169" s="176"/>
      <c r="AB169" s="176"/>
      <c r="AC169" s="176"/>
      <c r="AD169" s="176"/>
      <c r="AE169" s="176"/>
      <c r="AF169" s="176"/>
      <c r="AG169" s="176"/>
      <c r="AH169" s="176"/>
      <c r="AI169" s="176"/>
      <c r="AJ169" s="176"/>
      <c r="AK169" s="176"/>
      <c r="AL169" s="176"/>
      <c r="AM169" s="176"/>
      <c r="AN169" s="176"/>
      <c r="AO169" s="176"/>
      <c r="AP169" s="176"/>
      <c r="AQ169" s="176"/>
    </row>
    <row r="170" ht="15.75" customHeight="1">
      <c r="A170" s="171"/>
      <c r="B170" s="171"/>
      <c r="C170" s="171"/>
      <c r="D170" s="172"/>
      <c r="E170" s="172"/>
      <c r="F170" s="172"/>
      <c r="G170" s="172"/>
      <c r="H170" s="172"/>
      <c r="I170" s="172"/>
      <c r="J170" s="359"/>
      <c r="K170" s="359"/>
      <c r="L170" s="359"/>
      <c r="M170" s="359"/>
      <c r="N170" s="359"/>
      <c r="O170" s="223"/>
      <c r="P170" s="223"/>
      <c r="Q170" s="223"/>
      <c r="R170" s="223"/>
      <c r="S170" s="223"/>
      <c r="T170" s="223"/>
      <c r="U170" s="223"/>
      <c r="V170" s="176"/>
      <c r="W170" s="337"/>
      <c r="X170" s="337"/>
      <c r="Y170" s="176"/>
      <c r="Z170" s="176"/>
      <c r="AA170" s="176"/>
      <c r="AB170" s="176"/>
      <c r="AC170" s="176"/>
      <c r="AD170" s="176"/>
      <c r="AE170" s="176"/>
      <c r="AF170" s="176"/>
      <c r="AG170" s="176"/>
      <c r="AH170" s="176"/>
      <c r="AI170" s="176"/>
      <c r="AJ170" s="176"/>
      <c r="AK170" s="176"/>
      <c r="AL170" s="176"/>
      <c r="AM170" s="176"/>
      <c r="AN170" s="176"/>
      <c r="AO170" s="176"/>
      <c r="AP170" s="176"/>
      <c r="AQ170" s="176"/>
    </row>
    <row r="171" ht="15.75" customHeight="1">
      <c r="A171" s="140"/>
      <c r="B171" s="140" t="s">
        <v>122</v>
      </c>
      <c r="C171" s="140"/>
      <c r="D171" s="274"/>
      <c r="E171" s="274"/>
      <c r="F171" s="274"/>
      <c r="G171" s="274"/>
      <c r="H171" s="274"/>
      <c r="I171" s="274"/>
      <c r="J171" s="360">
        <f t="shared" ref="J171:U171" si="142">SUM(J161:J170)+J160</f>
        <v>150975</v>
      </c>
      <c r="K171" s="360">
        <f t="shared" si="142"/>
        <v>180607</v>
      </c>
      <c r="L171" s="360">
        <f t="shared" si="142"/>
        <v>231786</v>
      </c>
      <c r="M171" s="360">
        <f t="shared" si="142"/>
        <v>142759</v>
      </c>
      <c r="N171" s="360">
        <f t="shared" si="142"/>
        <v>199752</v>
      </c>
      <c r="O171" s="360">
        <f t="shared" si="142"/>
        <v>182593</v>
      </c>
      <c r="P171" s="360">
        <f t="shared" si="142"/>
        <v>163509</v>
      </c>
      <c r="Q171" s="360">
        <f t="shared" si="142"/>
        <v>246931.2223</v>
      </c>
      <c r="R171" s="360">
        <f t="shared" si="142"/>
        <v>271160.471</v>
      </c>
      <c r="S171" s="360">
        <f t="shared" si="142"/>
        <v>294807.3546</v>
      </c>
      <c r="T171" s="360">
        <f t="shared" si="142"/>
        <v>321162.4799</v>
      </c>
      <c r="U171" s="360">
        <f t="shared" si="142"/>
        <v>350174.3299</v>
      </c>
      <c r="V171" s="361"/>
      <c r="W171" s="362"/>
      <c r="X171" s="362"/>
      <c r="Y171" s="361"/>
      <c r="Z171" s="361"/>
      <c r="AA171" s="361"/>
      <c r="AB171" s="361"/>
      <c r="AC171" s="361"/>
      <c r="AD171" s="361"/>
      <c r="AE171" s="361"/>
      <c r="AF171" s="361"/>
      <c r="AG171" s="361"/>
      <c r="AH171" s="361"/>
      <c r="AI171" s="361"/>
      <c r="AJ171" s="361"/>
      <c r="AK171" s="361"/>
      <c r="AL171" s="361"/>
      <c r="AM171" s="361"/>
      <c r="AN171" s="361"/>
      <c r="AO171" s="361"/>
      <c r="AP171" s="361"/>
      <c r="AQ171" s="361"/>
    </row>
    <row r="172" ht="15.75" customHeight="1">
      <c r="A172" s="163"/>
      <c r="B172" s="163"/>
      <c r="C172" s="163" t="s">
        <v>123</v>
      </c>
      <c r="D172" s="164"/>
      <c r="E172" s="164"/>
      <c r="F172" s="164"/>
      <c r="G172" s="164"/>
      <c r="H172" s="164"/>
      <c r="I172" s="164"/>
      <c r="J172" s="363"/>
      <c r="K172" s="364">
        <f t="shared" ref="K172:U172" si="143">K171-K168</f>
        <v>159189</v>
      </c>
      <c r="L172" s="364">
        <f t="shared" si="143"/>
        <v>181278</v>
      </c>
      <c r="M172" s="364">
        <f t="shared" si="143"/>
        <v>160909</v>
      </c>
      <c r="N172" s="364">
        <f t="shared" si="143"/>
        <v>186270</v>
      </c>
      <c r="O172" s="364">
        <f t="shared" si="143"/>
        <v>196342</v>
      </c>
      <c r="P172" s="364">
        <f t="shared" si="143"/>
        <v>163509</v>
      </c>
      <c r="Q172" s="364">
        <f t="shared" si="143"/>
        <v>244169.9144</v>
      </c>
      <c r="R172" s="364">
        <f t="shared" si="143"/>
        <v>266712.4134</v>
      </c>
      <c r="S172" s="364">
        <f t="shared" si="143"/>
        <v>290328.5096</v>
      </c>
      <c r="T172" s="364">
        <f t="shared" si="143"/>
        <v>316319.6849</v>
      </c>
      <c r="U172" s="364">
        <f t="shared" si="143"/>
        <v>344934.8417</v>
      </c>
      <c r="V172" s="236"/>
      <c r="W172" s="237"/>
      <c r="X172" s="237"/>
      <c r="Y172" s="236"/>
      <c r="Z172" s="236"/>
      <c r="AA172" s="236"/>
      <c r="AB172" s="236"/>
      <c r="AC172" s="236"/>
      <c r="AD172" s="236"/>
      <c r="AE172" s="236"/>
      <c r="AF172" s="236"/>
      <c r="AG172" s="236"/>
      <c r="AH172" s="236"/>
      <c r="AI172" s="236"/>
      <c r="AJ172" s="236"/>
      <c r="AK172" s="236"/>
      <c r="AL172" s="236"/>
      <c r="AM172" s="236"/>
      <c r="AN172" s="236"/>
      <c r="AO172" s="236"/>
      <c r="AP172" s="236"/>
      <c r="AQ172" s="236"/>
    </row>
    <row r="173" ht="15.75" customHeight="1">
      <c r="A173" s="103"/>
      <c r="B173" s="103"/>
      <c r="C173" s="103"/>
      <c r="D173" s="104"/>
      <c r="E173" s="104"/>
      <c r="F173" s="104"/>
      <c r="G173" s="104"/>
      <c r="H173" s="104"/>
      <c r="I173" s="104"/>
      <c r="J173" s="365"/>
      <c r="K173" s="170"/>
      <c r="L173" s="170"/>
      <c r="M173" s="170"/>
      <c r="N173" s="170"/>
      <c r="O173" s="107"/>
      <c r="P173" s="107"/>
      <c r="Q173" s="107"/>
      <c r="R173" s="107"/>
      <c r="S173" s="107"/>
      <c r="T173" s="107"/>
      <c r="U173" s="107"/>
      <c r="V173" s="218"/>
      <c r="W173" s="219"/>
      <c r="X173" s="219"/>
      <c r="Y173" s="218"/>
      <c r="Z173" s="218"/>
      <c r="AA173" s="218"/>
      <c r="AB173" s="218"/>
      <c r="AC173" s="218"/>
      <c r="AD173" s="218"/>
      <c r="AE173" s="218"/>
      <c r="AF173" s="218"/>
      <c r="AG173" s="218"/>
      <c r="AH173" s="218"/>
      <c r="AI173" s="218"/>
      <c r="AJ173" s="218"/>
      <c r="AK173" s="218"/>
      <c r="AL173" s="218"/>
      <c r="AM173" s="218"/>
      <c r="AN173" s="218"/>
      <c r="AO173" s="218"/>
      <c r="AP173" s="218"/>
      <c r="AQ173" s="218"/>
    </row>
    <row r="174" ht="15.75" customHeight="1">
      <c r="A174" s="171"/>
      <c r="B174" s="171" t="s">
        <v>124</v>
      </c>
      <c r="C174" s="171"/>
      <c r="D174" s="172"/>
      <c r="E174" s="172"/>
      <c r="F174" s="172"/>
      <c r="G174" s="172"/>
      <c r="H174" s="172"/>
      <c r="I174" s="172"/>
      <c r="J174" s="168">
        <v>-35482.0</v>
      </c>
      <c r="K174" s="222">
        <v>-32550.0</v>
      </c>
      <c r="L174" s="222">
        <v>-41450.0</v>
      </c>
      <c r="M174" s="222">
        <v>-53309.0</v>
      </c>
      <c r="N174" s="222">
        <v>-34330.0</v>
      </c>
      <c r="O174" s="366">
        <v>-32087.0</v>
      </c>
      <c r="P174" s="355">
        <v>-85972.0</v>
      </c>
      <c r="Q174" s="223">
        <f t="shared" ref="Q174:U174" si="144">Q7*Q222</f>
        <v>-95493.31441</v>
      </c>
      <c r="R174" s="223">
        <f t="shared" si="144"/>
        <v>-102711.4273</v>
      </c>
      <c r="S174" s="223">
        <f t="shared" si="144"/>
        <v>-109979.5007</v>
      </c>
      <c r="T174" s="223">
        <f t="shared" si="144"/>
        <v>-117838.1763</v>
      </c>
      <c r="U174" s="223">
        <f t="shared" si="144"/>
        <v>-126340.5881</v>
      </c>
      <c r="V174" s="176"/>
      <c r="W174" s="337"/>
      <c r="X174" s="337"/>
      <c r="Y174" s="176"/>
      <c r="Z174" s="176"/>
      <c r="AA174" s="176"/>
      <c r="AB174" s="176"/>
      <c r="AC174" s="176"/>
      <c r="AD174" s="176"/>
      <c r="AE174" s="176"/>
      <c r="AF174" s="176"/>
      <c r="AG174" s="176"/>
      <c r="AH174" s="176"/>
      <c r="AI174" s="176"/>
      <c r="AJ174" s="176"/>
      <c r="AK174" s="176"/>
      <c r="AL174" s="176"/>
      <c r="AM174" s="176"/>
      <c r="AN174" s="176"/>
      <c r="AO174" s="176"/>
      <c r="AP174" s="176"/>
      <c r="AQ174" s="176"/>
    </row>
    <row r="175" ht="15.75" customHeight="1">
      <c r="A175" s="171"/>
      <c r="B175" s="232" t="s">
        <v>125</v>
      </c>
      <c r="C175" s="232"/>
      <c r="D175" s="172"/>
      <c r="E175" s="172"/>
      <c r="F175" s="172"/>
      <c r="G175" s="172"/>
      <c r="H175" s="172"/>
      <c r="I175" s="172"/>
      <c r="J175" s="367">
        <v>-14161.0</v>
      </c>
      <c r="K175" s="222">
        <v>-188.0</v>
      </c>
      <c r="L175" s="222">
        <v>-1366.0</v>
      </c>
      <c r="M175" s="222">
        <v>-15.0</v>
      </c>
      <c r="N175" s="222">
        <v>-22.0</v>
      </c>
      <c r="O175" s="366">
        <v>-842.0</v>
      </c>
      <c r="P175" s="223"/>
      <c r="Q175" s="223">
        <f t="shared" ref="Q175:U175" si="145">Q7*Q223</f>
        <v>-1013.285572</v>
      </c>
      <c r="R175" s="223">
        <f t="shared" si="145"/>
        <v>-1089.877423</v>
      </c>
      <c r="S175" s="223">
        <f t="shared" si="145"/>
        <v>-1166.999408</v>
      </c>
      <c r="T175" s="223">
        <f t="shared" si="145"/>
        <v>-1250.388309</v>
      </c>
      <c r="U175" s="223">
        <f t="shared" si="145"/>
        <v>-1340.607936</v>
      </c>
      <c r="V175" s="176"/>
      <c r="W175" s="337"/>
      <c r="X175" s="337"/>
      <c r="Y175" s="176"/>
      <c r="Z175" s="176"/>
      <c r="AA175" s="176"/>
      <c r="AB175" s="176"/>
      <c r="AC175" s="176"/>
      <c r="AD175" s="176"/>
      <c r="AE175" s="176"/>
      <c r="AF175" s="176"/>
      <c r="AG175" s="176"/>
      <c r="AH175" s="176"/>
      <c r="AI175" s="176"/>
      <c r="AJ175" s="176"/>
      <c r="AK175" s="176"/>
      <c r="AL175" s="176"/>
      <c r="AM175" s="176"/>
      <c r="AN175" s="176"/>
      <c r="AO175" s="176"/>
      <c r="AP175" s="176"/>
      <c r="AQ175" s="176"/>
    </row>
    <row r="176" ht="15.75" customHeight="1">
      <c r="A176" s="163"/>
      <c r="B176" s="368" t="s">
        <v>126</v>
      </c>
      <c r="C176" s="368"/>
      <c r="D176" s="164"/>
      <c r="E176" s="164"/>
      <c r="F176" s="164"/>
      <c r="G176" s="164"/>
      <c r="H176" s="164"/>
      <c r="I176" s="164"/>
      <c r="J176" s="369">
        <f t="shared" ref="J176:U176" si="146">J174+J175</f>
        <v>-49643</v>
      </c>
      <c r="K176" s="369">
        <f t="shared" si="146"/>
        <v>-32738</v>
      </c>
      <c r="L176" s="369">
        <f t="shared" si="146"/>
        <v>-42816</v>
      </c>
      <c r="M176" s="369">
        <f t="shared" si="146"/>
        <v>-53324</v>
      </c>
      <c r="N176" s="369">
        <f t="shared" si="146"/>
        <v>-34352</v>
      </c>
      <c r="O176" s="369">
        <f t="shared" si="146"/>
        <v>-32929</v>
      </c>
      <c r="P176" s="369">
        <f t="shared" si="146"/>
        <v>-85972</v>
      </c>
      <c r="Q176" s="369">
        <f t="shared" si="146"/>
        <v>-96506.59999</v>
      </c>
      <c r="R176" s="369">
        <f t="shared" si="146"/>
        <v>-103801.3048</v>
      </c>
      <c r="S176" s="369">
        <f t="shared" si="146"/>
        <v>-111146.5002</v>
      </c>
      <c r="T176" s="369">
        <f t="shared" si="146"/>
        <v>-119088.5646</v>
      </c>
      <c r="U176" s="369">
        <f t="shared" si="146"/>
        <v>-127681.196</v>
      </c>
      <c r="V176" s="165"/>
      <c r="W176" s="237"/>
      <c r="X176" s="237"/>
      <c r="Y176" s="236"/>
      <c r="Z176" s="236"/>
      <c r="AA176" s="236"/>
      <c r="AB176" s="236"/>
      <c r="AC176" s="236"/>
      <c r="AD176" s="236"/>
      <c r="AE176" s="236"/>
      <c r="AF176" s="236"/>
      <c r="AG176" s="236"/>
      <c r="AH176" s="236"/>
      <c r="AI176" s="236"/>
      <c r="AJ176" s="236"/>
      <c r="AK176" s="236"/>
      <c r="AL176" s="236"/>
      <c r="AM176" s="236"/>
      <c r="AN176" s="236"/>
      <c r="AO176" s="236"/>
      <c r="AP176" s="236"/>
      <c r="AQ176" s="236"/>
    </row>
    <row r="177" ht="15.75" customHeight="1">
      <c r="A177" s="171"/>
      <c r="B177" s="232" t="s">
        <v>127</v>
      </c>
      <c r="C177" s="232"/>
      <c r="D177" s="172"/>
      <c r="E177" s="172"/>
      <c r="F177" s="172"/>
      <c r="G177" s="172"/>
      <c r="H177" s="172"/>
      <c r="I177" s="172"/>
      <c r="J177" s="180"/>
      <c r="K177" s="180"/>
      <c r="L177" s="180"/>
      <c r="M177" s="222"/>
      <c r="N177" s="180">
        <v>644.0</v>
      </c>
      <c r="O177" s="366">
        <v>373.0</v>
      </c>
      <c r="P177" s="223"/>
      <c r="Q177" s="223">
        <f t="shared" ref="Q177:U177" si="147">Q7*Q225</f>
        <v>414.309383</v>
      </c>
      <c r="R177" s="223">
        <f t="shared" si="147"/>
        <v>445.6260456</v>
      </c>
      <c r="S177" s="223">
        <f t="shared" si="147"/>
        <v>477.1594679</v>
      </c>
      <c r="T177" s="223">
        <f t="shared" si="147"/>
        <v>511.2552897</v>
      </c>
      <c r="U177" s="223">
        <f t="shared" si="147"/>
        <v>548.1440394</v>
      </c>
      <c r="V177" s="176"/>
      <c r="W177" s="337"/>
      <c r="X177" s="337"/>
      <c r="Y177" s="176"/>
      <c r="Z177" s="176"/>
      <c r="AA177" s="176"/>
      <c r="AB177" s="176"/>
      <c r="AC177" s="176"/>
      <c r="AD177" s="176"/>
      <c r="AE177" s="176"/>
      <c r="AF177" s="176"/>
      <c r="AG177" s="176"/>
      <c r="AH177" s="176"/>
      <c r="AI177" s="176"/>
      <c r="AJ177" s="176"/>
      <c r="AK177" s="176"/>
      <c r="AL177" s="176"/>
      <c r="AM177" s="176"/>
      <c r="AN177" s="176"/>
      <c r="AO177" s="176"/>
      <c r="AP177" s="176"/>
      <c r="AQ177" s="176"/>
    </row>
    <row r="178" ht="15.75" customHeight="1">
      <c r="A178" s="171"/>
      <c r="B178" s="232" t="s">
        <v>128</v>
      </c>
      <c r="C178" s="232"/>
      <c r="D178" s="172"/>
      <c r="E178" s="172"/>
      <c r="F178" s="172"/>
      <c r="G178" s="172"/>
      <c r="H178" s="172"/>
      <c r="I178" s="172"/>
      <c r="J178" s="222">
        <v>-35434.0</v>
      </c>
      <c r="K178" s="222">
        <v>-14536.0</v>
      </c>
      <c r="L178" s="222">
        <v>-19137.0</v>
      </c>
      <c r="M178" s="222">
        <v>-4087.0</v>
      </c>
      <c r="N178" s="222">
        <v>-1204.0</v>
      </c>
      <c r="O178" s="366">
        <v>-2204.0</v>
      </c>
      <c r="P178" s="223"/>
      <c r="Q178" s="223"/>
      <c r="R178" s="223"/>
      <c r="S178" s="223"/>
      <c r="T178" s="223"/>
      <c r="U178" s="223"/>
      <c r="V178" s="176"/>
      <c r="W178" s="337"/>
      <c r="X178" s="337"/>
      <c r="Y178" s="176"/>
      <c r="Z178" s="176"/>
      <c r="AA178" s="176"/>
      <c r="AB178" s="176"/>
      <c r="AC178" s="176"/>
      <c r="AD178" s="176"/>
      <c r="AE178" s="176"/>
      <c r="AF178" s="176"/>
      <c r="AG178" s="176"/>
      <c r="AH178" s="176"/>
      <c r="AI178" s="176"/>
      <c r="AJ178" s="176"/>
      <c r="AK178" s="176"/>
      <c r="AL178" s="176"/>
      <c r="AM178" s="176"/>
      <c r="AN178" s="176"/>
      <c r="AO178" s="176"/>
      <c r="AP178" s="176"/>
      <c r="AQ178" s="176"/>
    </row>
    <row r="179" ht="15.75" customHeight="1">
      <c r="A179" s="171"/>
      <c r="B179" s="232" t="s">
        <v>129</v>
      </c>
      <c r="C179" s="232"/>
      <c r="D179" s="172"/>
      <c r="E179" s="172"/>
      <c r="F179" s="172"/>
      <c r="G179" s="172"/>
      <c r="H179" s="172"/>
      <c r="I179" s="172"/>
      <c r="J179" s="370">
        <v>-10.0</v>
      </c>
      <c r="K179" s="180">
        <v>-107.0</v>
      </c>
      <c r="L179" s="180">
        <v>-126.0</v>
      </c>
      <c r="M179" s="180">
        <v>-11.0</v>
      </c>
      <c r="N179" s="180">
        <v>-5.0</v>
      </c>
      <c r="O179" s="366">
        <v>699.0</v>
      </c>
      <c r="P179" s="223"/>
      <c r="Q179" s="223"/>
      <c r="R179" s="223"/>
      <c r="S179" s="223"/>
      <c r="T179" s="223"/>
      <c r="U179" s="223"/>
      <c r="V179" s="176"/>
      <c r="W179" s="337"/>
      <c r="X179" s="337"/>
      <c r="Y179" s="176"/>
      <c r="Z179" s="176"/>
      <c r="AA179" s="176"/>
      <c r="AB179" s="176"/>
      <c r="AC179" s="176"/>
      <c r="AD179" s="176"/>
      <c r="AE179" s="176"/>
      <c r="AF179" s="176"/>
      <c r="AG179" s="176"/>
      <c r="AH179" s="176"/>
      <c r="AI179" s="176"/>
      <c r="AJ179" s="176"/>
      <c r="AK179" s="176"/>
      <c r="AL179" s="176"/>
      <c r="AM179" s="176"/>
      <c r="AN179" s="176"/>
      <c r="AO179" s="176"/>
      <c r="AP179" s="176"/>
      <c r="AQ179" s="176"/>
    </row>
    <row r="180" ht="15.75" customHeight="1">
      <c r="A180" s="171"/>
      <c r="B180" s="232" t="s">
        <v>130</v>
      </c>
      <c r="C180" s="232"/>
      <c r="D180" s="172"/>
      <c r="E180" s="172"/>
      <c r="F180" s="172"/>
      <c r="G180" s="172"/>
      <c r="H180" s="172"/>
      <c r="I180" s="172"/>
      <c r="J180" s="222">
        <v>-65965.0</v>
      </c>
      <c r="K180" s="222">
        <v>-60463.0</v>
      </c>
      <c r="L180" s="222">
        <v>-181183.0</v>
      </c>
      <c r="M180" s="222">
        <v>-140266.0</v>
      </c>
      <c r="N180" s="222">
        <v>-101511.0</v>
      </c>
      <c r="O180" s="366">
        <v>11500.0</v>
      </c>
      <c r="P180" s="355">
        <v>-102646.0</v>
      </c>
      <c r="Q180" s="223"/>
      <c r="R180" s="223"/>
      <c r="S180" s="223"/>
      <c r="T180" s="223"/>
      <c r="U180" s="223"/>
      <c r="V180" s="176"/>
      <c r="W180" s="337"/>
      <c r="X180" s="337"/>
      <c r="Y180" s="176"/>
      <c r="Z180" s="176"/>
      <c r="AA180" s="176"/>
      <c r="AB180" s="176"/>
      <c r="AC180" s="176"/>
      <c r="AD180" s="176"/>
      <c r="AE180" s="176"/>
      <c r="AF180" s="176"/>
      <c r="AG180" s="176"/>
      <c r="AH180" s="176"/>
      <c r="AI180" s="176"/>
      <c r="AJ180" s="176"/>
      <c r="AK180" s="176"/>
      <c r="AL180" s="176"/>
      <c r="AM180" s="176"/>
      <c r="AN180" s="176"/>
      <c r="AO180" s="176"/>
      <c r="AP180" s="176"/>
      <c r="AQ180" s="176"/>
    </row>
    <row r="181" ht="15.75" customHeight="1">
      <c r="A181" s="171"/>
      <c r="B181" s="232" t="s">
        <v>131</v>
      </c>
      <c r="C181" s="232"/>
      <c r="D181" s="172"/>
      <c r="E181" s="172"/>
      <c r="F181" s="172"/>
      <c r="G181" s="172"/>
      <c r="H181" s="172"/>
      <c r="I181" s="172"/>
      <c r="J181" s="222">
        <v>-8.0</v>
      </c>
      <c r="K181" s="222">
        <v>-228.0</v>
      </c>
      <c r="L181" s="222">
        <v>-932.0</v>
      </c>
      <c r="M181" s="222">
        <v>-904.0</v>
      </c>
      <c r="N181" s="222">
        <v>922.0</v>
      </c>
      <c r="O181" s="366">
        <v>737.0</v>
      </c>
      <c r="P181" s="371">
        <v>3203.0</v>
      </c>
      <c r="Q181" s="223">
        <f t="shared" ref="Q181:U181" si="148">Q171*Q226</f>
        <v>996.6883224</v>
      </c>
      <c r="R181" s="223">
        <f t="shared" si="148"/>
        <v>1094.484822</v>
      </c>
      <c r="S181" s="223">
        <f t="shared" si="148"/>
        <v>1189.930722</v>
      </c>
      <c r="T181" s="223">
        <f t="shared" si="148"/>
        <v>1296.307896</v>
      </c>
      <c r="U181" s="223">
        <f t="shared" si="148"/>
        <v>1413.408406</v>
      </c>
      <c r="V181" s="176"/>
      <c r="W181" s="337"/>
      <c r="X181" s="337"/>
      <c r="Y181" s="176"/>
      <c r="Z181" s="176"/>
      <c r="AA181" s="176"/>
      <c r="AB181" s="176"/>
      <c r="AC181" s="176"/>
      <c r="AD181" s="176"/>
      <c r="AE181" s="176"/>
      <c r="AF181" s="176"/>
      <c r="AG181" s="176"/>
      <c r="AH181" s="176"/>
      <c r="AI181" s="176"/>
      <c r="AJ181" s="176"/>
      <c r="AK181" s="176"/>
      <c r="AL181" s="176"/>
      <c r="AM181" s="176"/>
      <c r="AN181" s="176"/>
      <c r="AO181" s="176"/>
      <c r="AP181" s="176"/>
      <c r="AQ181" s="176"/>
    </row>
    <row r="182" ht="15.75" customHeight="1">
      <c r="A182" s="140"/>
      <c r="B182" s="140" t="s">
        <v>132</v>
      </c>
      <c r="C182" s="140"/>
      <c r="D182" s="274"/>
      <c r="E182" s="274"/>
      <c r="F182" s="274"/>
      <c r="G182" s="274"/>
      <c r="H182" s="274"/>
      <c r="I182" s="274"/>
      <c r="J182" s="360">
        <f t="shared" ref="J182:U182" si="149">J174+J177+J178+J179+J175+J180+J181</f>
        <v>-151060</v>
      </c>
      <c r="K182" s="360">
        <f t="shared" si="149"/>
        <v>-108072</v>
      </c>
      <c r="L182" s="360">
        <f t="shared" si="149"/>
        <v>-244194</v>
      </c>
      <c r="M182" s="360">
        <f t="shared" si="149"/>
        <v>-198592</v>
      </c>
      <c r="N182" s="360">
        <f t="shared" si="149"/>
        <v>-135506</v>
      </c>
      <c r="O182" s="360">
        <f t="shared" si="149"/>
        <v>-21824</v>
      </c>
      <c r="P182" s="360">
        <f t="shared" si="149"/>
        <v>-185415</v>
      </c>
      <c r="Q182" s="360">
        <f t="shared" si="149"/>
        <v>-95095.60228</v>
      </c>
      <c r="R182" s="360">
        <f t="shared" si="149"/>
        <v>-102261.1939</v>
      </c>
      <c r="S182" s="360">
        <f t="shared" si="149"/>
        <v>-109479.41</v>
      </c>
      <c r="T182" s="360">
        <f t="shared" si="149"/>
        <v>-117281.0014</v>
      </c>
      <c r="U182" s="360">
        <f t="shared" si="149"/>
        <v>-125719.6436</v>
      </c>
      <c r="V182" s="361"/>
      <c r="W182" s="362"/>
      <c r="X182" s="362"/>
      <c r="Y182" s="361"/>
      <c r="Z182" s="361"/>
      <c r="AA182" s="361"/>
      <c r="AB182" s="361"/>
      <c r="AC182" s="361"/>
      <c r="AD182" s="361"/>
      <c r="AE182" s="361"/>
      <c r="AF182" s="361"/>
      <c r="AG182" s="361"/>
      <c r="AH182" s="361"/>
      <c r="AI182" s="361"/>
      <c r="AJ182" s="361"/>
      <c r="AK182" s="361"/>
      <c r="AL182" s="361"/>
      <c r="AM182" s="361"/>
      <c r="AN182" s="361"/>
      <c r="AO182" s="361"/>
      <c r="AP182" s="361"/>
      <c r="AQ182" s="361"/>
    </row>
    <row r="183" ht="15.75" customHeight="1">
      <c r="A183" s="103"/>
      <c r="B183" s="103"/>
      <c r="C183" s="103"/>
      <c r="D183" s="104"/>
      <c r="E183" s="104"/>
      <c r="F183" s="104"/>
      <c r="G183" s="104"/>
      <c r="H183" s="104"/>
      <c r="I183" s="104"/>
      <c r="J183" s="104"/>
      <c r="K183" s="107"/>
      <c r="L183" s="107"/>
      <c r="M183" s="107"/>
      <c r="N183" s="107"/>
      <c r="O183" s="107"/>
      <c r="P183" s="107"/>
      <c r="Q183" s="107"/>
      <c r="R183" s="107"/>
      <c r="S183" s="107"/>
      <c r="T183" s="107"/>
      <c r="U183" s="107"/>
      <c r="V183" s="218"/>
      <c r="W183" s="219"/>
      <c r="X183" s="219"/>
      <c r="Y183" s="218"/>
      <c r="Z183" s="218"/>
      <c r="AA183" s="218"/>
      <c r="AB183" s="218"/>
      <c r="AC183" s="218"/>
      <c r="AD183" s="218"/>
      <c r="AE183" s="218"/>
      <c r="AF183" s="218"/>
      <c r="AG183" s="218"/>
      <c r="AH183" s="218"/>
      <c r="AI183" s="218"/>
      <c r="AJ183" s="218"/>
      <c r="AK183" s="218"/>
      <c r="AL183" s="218"/>
      <c r="AM183" s="218"/>
      <c r="AN183" s="218"/>
      <c r="AO183" s="218"/>
      <c r="AP183" s="218"/>
      <c r="AQ183" s="218"/>
    </row>
    <row r="184" ht="15.75" customHeight="1">
      <c r="A184" s="103"/>
      <c r="B184" s="103" t="s">
        <v>133</v>
      </c>
      <c r="C184" s="103"/>
      <c r="D184" s="104"/>
      <c r="E184" s="104"/>
      <c r="F184" s="104"/>
      <c r="G184" s="104"/>
      <c r="H184" s="104"/>
      <c r="I184" s="104"/>
      <c r="J184" s="222">
        <v>12116.0</v>
      </c>
      <c r="K184" s="222">
        <v>15719.0</v>
      </c>
      <c r="L184" s="222">
        <v>38410.0</v>
      </c>
      <c r="M184" s="222">
        <v>9427.0</v>
      </c>
      <c r="N184" s="222">
        <v>22790.0</v>
      </c>
      <c r="O184" s="366">
        <v>20570.0</v>
      </c>
      <c r="P184" s="372">
        <v>67032.0</v>
      </c>
      <c r="Q184" s="107"/>
      <c r="R184" s="107"/>
      <c r="S184" s="107"/>
      <c r="T184" s="107"/>
      <c r="U184" s="107"/>
      <c r="V184" s="218"/>
      <c r="W184" s="219"/>
      <c r="X184" s="219"/>
      <c r="Y184" s="218"/>
      <c r="Z184" s="218"/>
      <c r="AA184" s="218"/>
      <c r="AB184" s="218"/>
      <c r="AC184" s="218"/>
      <c r="AD184" s="218"/>
      <c r="AE184" s="218"/>
      <c r="AF184" s="218"/>
      <c r="AG184" s="218"/>
      <c r="AH184" s="218"/>
      <c r="AI184" s="218"/>
      <c r="AJ184" s="218"/>
      <c r="AK184" s="218"/>
      <c r="AL184" s="218"/>
      <c r="AM184" s="218"/>
      <c r="AN184" s="218"/>
      <c r="AO184" s="218"/>
      <c r="AP184" s="218"/>
      <c r="AQ184" s="218"/>
    </row>
    <row r="185" ht="15.75" customHeight="1">
      <c r="A185" s="171"/>
      <c r="B185" s="171" t="s">
        <v>134</v>
      </c>
      <c r="C185" s="171"/>
      <c r="D185" s="172"/>
      <c r="E185" s="172"/>
      <c r="F185" s="172"/>
      <c r="G185" s="172"/>
      <c r="H185" s="172"/>
      <c r="I185" s="172"/>
      <c r="J185" s="222">
        <v>-16347.0</v>
      </c>
      <c r="K185" s="222">
        <v>-31741.0</v>
      </c>
      <c r="L185" s="222">
        <v>-7061.0</v>
      </c>
      <c r="M185" s="222">
        <v>-16713.0</v>
      </c>
      <c r="N185" s="222">
        <v>-11448.0</v>
      </c>
      <c r="O185" s="366">
        <v>-18105.0</v>
      </c>
      <c r="P185" s="223"/>
      <c r="Q185" s="223"/>
      <c r="R185" s="223"/>
      <c r="S185" s="223"/>
      <c r="T185" s="223"/>
      <c r="U185" s="223"/>
      <c r="V185" s="176"/>
      <c r="W185" s="337"/>
      <c r="X185" s="337"/>
      <c r="Y185" s="176"/>
      <c r="Z185" s="176"/>
      <c r="AA185" s="176"/>
      <c r="AB185" s="176"/>
      <c r="AC185" s="176"/>
      <c r="AD185" s="176"/>
      <c r="AE185" s="176"/>
      <c r="AF185" s="176"/>
      <c r="AG185" s="176"/>
      <c r="AH185" s="176"/>
      <c r="AI185" s="176"/>
      <c r="AJ185" s="176"/>
      <c r="AK185" s="176"/>
      <c r="AL185" s="176"/>
      <c r="AM185" s="176"/>
      <c r="AN185" s="176"/>
      <c r="AO185" s="176"/>
      <c r="AP185" s="176"/>
      <c r="AQ185" s="176"/>
    </row>
    <row r="186" ht="15.75" customHeight="1">
      <c r="A186" s="103"/>
      <c r="B186" s="103"/>
      <c r="C186" s="103" t="s">
        <v>135</v>
      </c>
      <c r="D186" s="104"/>
      <c r="E186" s="104"/>
      <c r="F186" s="104"/>
      <c r="G186" s="104"/>
      <c r="H186" s="104"/>
      <c r="I186" s="104"/>
      <c r="J186" s="366">
        <f t="shared" ref="J186:U186" si="150">J184+J185</f>
        <v>-4231</v>
      </c>
      <c r="K186" s="366">
        <f t="shared" si="150"/>
        <v>-16022</v>
      </c>
      <c r="L186" s="366">
        <f t="shared" si="150"/>
        <v>31349</v>
      </c>
      <c r="M186" s="366">
        <f t="shared" si="150"/>
        <v>-7286</v>
      </c>
      <c r="N186" s="366">
        <f t="shared" si="150"/>
        <v>11342</v>
      </c>
      <c r="O186" s="366">
        <f t="shared" si="150"/>
        <v>2465</v>
      </c>
      <c r="P186" s="107">
        <f t="shared" si="150"/>
        <v>67032</v>
      </c>
      <c r="Q186" s="107">
        <f t="shared" si="150"/>
        <v>0</v>
      </c>
      <c r="R186" s="107">
        <f t="shared" si="150"/>
        <v>0</v>
      </c>
      <c r="S186" s="107">
        <f t="shared" si="150"/>
        <v>0</v>
      </c>
      <c r="T186" s="107">
        <f t="shared" si="150"/>
        <v>0</v>
      </c>
      <c r="U186" s="107">
        <f t="shared" si="150"/>
        <v>0</v>
      </c>
      <c r="V186" s="107"/>
      <c r="W186" s="219"/>
      <c r="X186" s="219"/>
      <c r="Y186" s="218"/>
      <c r="Z186" s="218"/>
      <c r="AA186" s="218"/>
      <c r="AB186" s="218"/>
      <c r="AC186" s="218"/>
      <c r="AD186" s="218"/>
      <c r="AE186" s="218"/>
      <c r="AF186" s="218"/>
      <c r="AG186" s="218"/>
      <c r="AH186" s="218"/>
      <c r="AI186" s="218"/>
      <c r="AJ186" s="218"/>
      <c r="AK186" s="218"/>
      <c r="AL186" s="218"/>
      <c r="AM186" s="218"/>
      <c r="AN186" s="218"/>
      <c r="AO186" s="218"/>
      <c r="AP186" s="218"/>
      <c r="AQ186" s="218"/>
    </row>
    <row r="187" ht="15.75" customHeight="1">
      <c r="A187" s="103"/>
      <c r="B187" s="103" t="s">
        <v>136</v>
      </c>
      <c r="C187" s="103"/>
      <c r="D187" s="104"/>
      <c r="E187" s="104"/>
      <c r="F187" s="104"/>
      <c r="G187" s="104"/>
      <c r="H187" s="104"/>
      <c r="I187" s="104"/>
      <c r="J187" s="104"/>
      <c r="K187" s="366"/>
      <c r="L187" s="366"/>
      <c r="M187" s="366"/>
      <c r="N187" s="366"/>
      <c r="O187" s="366"/>
      <c r="P187" s="107"/>
      <c r="Q187" s="107"/>
      <c r="R187" s="107"/>
      <c r="S187" s="107"/>
      <c r="T187" s="107"/>
      <c r="U187" s="107"/>
      <c r="V187" s="218"/>
      <c r="W187" s="219"/>
      <c r="X187" s="219"/>
      <c r="Y187" s="218"/>
      <c r="Z187" s="218"/>
      <c r="AA187" s="218"/>
      <c r="AB187" s="218"/>
      <c r="AC187" s="218"/>
      <c r="AD187" s="218"/>
      <c r="AE187" s="218"/>
      <c r="AF187" s="218"/>
      <c r="AG187" s="218"/>
      <c r="AH187" s="218"/>
      <c r="AI187" s="218"/>
      <c r="AJ187" s="218"/>
      <c r="AK187" s="218"/>
      <c r="AL187" s="218"/>
      <c r="AM187" s="218"/>
      <c r="AN187" s="218"/>
      <c r="AO187" s="218"/>
      <c r="AP187" s="218"/>
      <c r="AQ187" s="218"/>
    </row>
    <row r="188" ht="15.75" customHeight="1">
      <c r="A188" s="171"/>
      <c r="B188" s="171" t="s">
        <v>137</v>
      </c>
      <c r="C188" s="171"/>
      <c r="D188" s="172"/>
      <c r="E188" s="172"/>
      <c r="F188" s="172"/>
      <c r="G188" s="172"/>
      <c r="H188" s="172"/>
      <c r="I188" s="172"/>
      <c r="J188" s="222">
        <v>-10518.0</v>
      </c>
      <c r="K188" s="222">
        <v>91506.0</v>
      </c>
      <c r="L188" s="222">
        <v>-598.0</v>
      </c>
      <c r="M188" s="222">
        <v>-61116.0</v>
      </c>
      <c r="N188" s="222">
        <v>-74735.0</v>
      </c>
      <c r="O188" s="366">
        <v>-87902.0</v>
      </c>
      <c r="P188" s="373">
        <v>-86662.0</v>
      </c>
      <c r="Q188" s="373">
        <v>-86662.0</v>
      </c>
      <c r="R188" s="373">
        <v>-86662.0</v>
      </c>
      <c r="S188" s="373">
        <v>-86662.0</v>
      </c>
      <c r="T188" s="373">
        <v>-86662.0</v>
      </c>
      <c r="U188" s="373">
        <v>-86662.0</v>
      </c>
      <c r="V188" s="176"/>
      <c r="W188" s="337"/>
      <c r="X188" s="337"/>
      <c r="Y188" s="176"/>
      <c r="Z188" s="176"/>
      <c r="AA188" s="176"/>
      <c r="AB188" s="176"/>
      <c r="AC188" s="176"/>
      <c r="AD188" s="176"/>
      <c r="AE188" s="176"/>
      <c r="AF188" s="176"/>
      <c r="AG188" s="176"/>
      <c r="AH188" s="176"/>
      <c r="AI188" s="176"/>
      <c r="AJ188" s="176"/>
      <c r="AK188" s="176"/>
      <c r="AL188" s="176"/>
      <c r="AM188" s="176"/>
      <c r="AN188" s="176"/>
      <c r="AO188" s="176"/>
      <c r="AP188" s="176"/>
      <c r="AQ188" s="176"/>
    </row>
    <row r="189" ht="15.75" customHeight="1">
      <c r="A189" s="171"/>
      <c r="B189" s="171" t="s">
        <v>138</v>
      </c>
      <c r="C189" s="171"/>
      <c r="D189" s="172"/>
      <c r="E189" s="172"/>
      <c r="F189" s="172"/>
      <c r="G189" s="172"/>
      <c r="H189" s="172"/>
      <c r="I189" s="172"/>
      <c r="J189" s="366"/>
      <c r="K189" s="366"/>
      <c r="L189" s="366"/>
      <c r="M189" s="366"/>
      <c r="N189" s="366"/>
      <c r="O189" s="366">
        <v>-17946.0</v>
      </c>
      <c r="P189" s="355">
        <v>-29077.0</v>
      </c>
      <c r="Q189" s="223">
        <f t="shared" ref="Q189:U189" si="151">-P66*Q81</f>
        <v>-32527.25</v>
      </c>
      <c r="R189" s="223">
        <f t="shared" si="151"/>
        <v>-31227.85264</v>
      </c>
      <c r="S189" s="223">
        <f t="shared" si="151"/>
        <v>-34609.8606</v>
      </c>
      <c r="T189" s="223">
        <f t="shared" si="151"/>
        <v>-38244.66935</v>
      </c>
      <c r="U189" s="223">
        <f t="shared" si="151"/>
        <v>-42288.85191</v>
      </c>
      <c r="V189" s="176"/>
      <c r="W189" s="337"/>
      <c r="X189" s="337"/>
      <c r="Y189" s="176"/>
      <c r="Z189" s="176"/>
      <c r="AA189" s="176"/>
      <c r="AB189" s="176"/>
      <c r="AC189" s="176"/>
      <c r="AD189" s="176"/>
      <c r="AE189" s="176"/>
      <c r="AF189" s="176"/>
      <c r="AG189" s="176"/>
      <c r="AH189" s="176"/>
      <c r="AI189" s="176"/>
      <c r="AJ189" s="176"/>
      <c r="AK189" s="176"/>
      <c r="AL189" s="176"/>
      <c r="AM189" s="176"/>
      <c r="AN189" s="176"/>
      <c r="AO189" s="176"/>
      <c r="AP189" s="176"/>
      <c r="AQ189" s="176"/>
    </row>
    <row r="190" ht="15.75" customHeight="1">
      <c r="A190" s="171"/>
      <c r="B190" s="171" t="s">
        <v>139</v>
      </c>
      <c r="C190" s="171"/>
      <c r="D190" s="172"/>
      <c r="E190" s="172"/>
      <c r="F190" s="172"/>
      <c r="G190" s="172"/>
      <c r="H190" s="172"/>
      <c r="I190" s="172"/>
      <c r="J190" s="180">
        <v>7357.0</v>
      </c>
      <c r="K190" s="180">
        <v>-4631.0</v>
      </c>
      <c r="L190" s="180">
        <v>-669.0</v>
      </c>
      <c r="M190" s="180">
        <v>3953.0</v>
      </c>
      <c r="N190" s="180">
        <v>-2226.0</v>
      </c>
      <c r="O190" s="366">
        <v>-4861.0</v>
      </c>
      <c r="P190" s="355">
        <v>-27508.0</v>
      </c>
      <c r="Q190" s="223">
        <f t="shared" ref="Q190:U190" si="152">Q7*Q231</f>
        <v>-5399.350967</v>
      </c>
      <c r="R190" s="223">
        <f t="shared" si="152"/>
        <v>-5807.475088</v>
      </c>
      <c r="S190" s="223">
        <f t="shared" si="152"/>
        <v>-6218.424058</v>
      </c>
      <c r="T190" s="223">
        <f t="shared" si="152"/>
        <v>-6662.766657</v>
      </c>
      <c r="U190" s="223">
        <f t="shared" si="152"/>
        <v>-7143.507172</v>
      </c>
      <c r="V190" s="176"/>
      <c r="W190" s="337"/>
      <c r="X190" s="337"/>
      <c r="Y190" s="176"/>
      <c r="Z190" s="176"/>
      <c r="AA190" s="176"/>
      <c r="AB190" s="176"/>
      <c r="AC190" s="176"/>
      <c r="AD190" s="176"/>
      <c r="AE190" s="176"/>
      <c r="AF190" s="176"/>
      <c r="AG190" s="176"/>
      <c r="AH190" s="176"/>
      <c r="AI190" s="176"/>
      <c r="AJ190" s="176"/>
      <c r="AK190" s="176"/>
      <c r="AL190" s="176"/>
      <c r="AM190" s="176"/>
      <c r="AN190" s="176"/>
      <c r="AO190" s="176"/>
      <c r="AP190" s="176"/>
      <c r="AQ190" s="176"/>
    </row>
    <row r="191" ht="15.75" customHeight="1">
      <c r="A191" s="140"/>
      <c r="B191" s="140" t="s">
        <v>140</v>
      </c>
      <c r="C191" s="140"/>
      <c r="D191" s="274"/>
      <c r="E191" s="274"/>
      <c r="F191" s="274"/>
      <c r="G191" s="274"/>
      <c r="H191" s="274"/>
      <c r="I191" s="274"/>
      <c r="J191" s="360">
        <f t="shared" ref="J191:U191" si="153">J186+J187+J188+J189+J190</f>
        <v>-7392</v>
      </c>
      <c r="K191" s="360">
        <f t="shared" si="153"/>
        <v>70853</v>
      </c>
      <c r="L191" s="360">
        <f t="shared" si="153"/>
        <v>30082</v>
      </c>
      <c r="M191" s="360">
        <f t="shared" si="153"/>
        <v>-64449</v>
      </c>
      <c r="N191" s="360">
        <f t="shared" si="153"/>
        <v>-65619</v>
      </c>
      <c r="O191" s="360">
        <f t="shared" si="153"/>
        <v>-108244</v>
      </c>
      <c r="P191" s="360">
        <f t="shared" si="153"/>
        <v>-76215</v>
      </c>
      <c r="Q191" s="360">
        <f t="shared" si="153"/>
        <v>-124588.601</v>
      </c>
      <c r="R191" s="360">
        <f t="shared" si="153"/>
        <v>-123697.3277</v>
      </c>
      <c r="S191" s="360">
        <f t="shared" si="153"/>
        <v>-127490.2847</v>
      </c>
      <c r="T191" s="360">
        <f t="shared" si="153"/>
        <v>-131569.436</v>
      </c>
      <c r="U191" s="360">
        <f t="shared" si="153"/>
        <v>-136094.3591</v>
      </c>
      <c r="V191" s="361"/>
      <c r="W191" s="362"/>
      <c r="X191" s="362"/>
      <c r="Y191" s="361"/>
      <c r="Z191" s="361"/>
      <c r="AA191" s="361"/>
      <c r="AB191" s="361"/>
      <c r="AC191" s="361"/>
      <c r="AD191" s="361"/>
      <c r="AE191" s="361"/>
      <c r="AF191" s="361"/>
      <c r="AG191" s="361"/>
      <c r="AH191" s="361"/>
      <c r="AI191" s="361"/>
      <c r="AJ191" s="361"/>
      <c r="AK191" s="361"/>
      <c r="AL191" s="361"/>
      <c r="AM191" s="361"/>
      <c r="AN191" s="361"/>
      <c r="AO191" s="361"/>
      <c r="AP191" s="361"/>
      <c r="AQ191" s="361"/>
    </row>
    <row r="192" ht="15.75" customHeight="1">
      <c r="A192" s="140"/>
      <c r="B192" s="140"/>
      <c r="C192" s="140"/>
      <c r="D192" s="274"/>
      <c r="E192" s="274"/>
      <c r="F192" s="274"/>
      <c r="G192" s="274"/>
      <c r="H192" s="274"/>
      <c r="I192" s="274"/>
      <c r="J192" s="274"/>
      <c r="K192" s="360"/>
      <c r="L192" s="360"/>
      <c r="M192" s="360"/>
      <c r="N192" s="360"/>
      <c r="O192" s="360"/>
      <c r="P192" s="360"/>
      <c r="Q192" s="360"/>
      <c r="R192" s="360"/>
      <c r="S192" s="360"/>
      <c r="T192" s="360"/>
      <c r="U192" s="360"/>
      <c r="V192" s="361"/>
      <c r="W192" s="362"/>
      <c r="X192" s="362"/>
      <c r="Y192" s="361"/>
      <c r="Z192" s="361"/>
      <c r="AA192" s="361"/>
      <c r="AB192" s="361"/>
      <c r="AC192" s="361"/>
      <c r="AD192" s="361"/>
      <c r="AE192" s="361"/>
      <c r="AF192" s="361"/>
      <c r="AG192" s="361"/>
      <c r="AH192" s="361"/>
      <c r="AI192" s="361"/>
      <c r="AJ192" s="361"/>
      <c r="AK192" s="361"/>
      <c r="AL192" s="361"/>
      <c r="AM192" s="361"/>
      <c r="AN192" s="361"/>
      <c r="AO192" s="361"/>
      <c r="AP192" s="361"/>
      <c r="AQ192" s="361"/>
    </row>
    <row r="193" ht="15.75" customHeight="1">
      <c r="A193" s="103"/>
      <c r="B193" s="103"/>
      <c r="C193" s="103"/>
      <c r="D193" s="104"/>
      <c r="E193" s="104"/>
      <c r="F193" s="104"/>
      <c r="G193" s="104"/>
      <c r="H193" s="104"/>
      <c r="I193" s="104"/>
      <c r="J193" s="104"/>
      <c r="K193" s="107"/>
      <c r="L193" s="107"/>
      <c r="M193" s="107"/>
      <c r="N193" s="107"/>
      <c r="O193" s="107"/>
      <c r="P193" s="107"/>
      <c r="Q193" s="107"/>
      <c r="R193" s="107"/>
      <c r="S193" s="107"/>
      <c r="T193" s="107"/>
      <c r="U193" s="107"/>
      <c r="V193" s="218"/>
      <c r="W193" s="219"/>
      <c r="X193" s="219"/>
      <c r="Y193" s="218"/>
      <c r="Z193" s="218"/>
      <c r="AA193" s="218"/>
      <c r="AB193" s="218"/>
      <c r="AC193" s="218"/>
      <c r="AD193" s="218"/>
      <c r="AE193" s="218"/>
      <c r="AF193" s="218"/>
      <c r="AG193" s="218"/>
      <c r="AH193" s="218"/>
      <c r="AI193" s="218"/>
      <c r="AJ193" s="218"/>
      <c r="AK193" s="218"/>
      <c r="AL193" s="218"/>
      <c r="AM193" s="218"/>
      <c r="AN193" s="218"/>
      <c r="AO193" s="218"/>
      <c r="AP193" s="218"/>
      <c r="AQ193" s="218"/>
    </row>
    <row r="194" ht="15.75" customHeight="1">
      <c r="A194" s="171"/>
      <c r="B194" s="171" t="s">
        <v>141</v>
      </c>
      <c r="C194" s="171"/>
      <c r="D194" s="172"/>
      <c r="E194" s="172"/>
      <c r="F194" s="172"/>
      <c r="G194" s="172"/>
      <c r="H194" s="172"/>
      <c r="I194" s="172"/>
      <c r="J194" s="222">
        <v>3245.0</v>
      </c>
      <c r="K194" s="180">
        <v>4100.0</v>
      </c>
      <c r="L194" s="180">
        <v>-7187.0</v>
      </c>
      <c r="M194" s="180">
        <v>-8834.0</v>
      </c>
      <c r="N194" s="180">
        <v>3530.0</v>
      </c>
      <c r="O194" s="180">
        <v>4389.0</v>
      </c>
      <c r="P194" s="371">
        <v>965.0</v>
      </c>
      <c r="Q194" s="223"/>
      <c r="R194" s="223"/>
      <c r="S194" s="223"/>
      <c r="T194" s="223"/>
      <c r="U194" s="223"/>
      <c r="V194" s="176"/>
      <c r="W194" s="337"/>
      <c r="X194" s="337"/>
      <c r="Y194" s="176"/>
      <c r="Z194" s="176"/>
      <c r="AA194" s="176"/>
      <c r="AB194" s="176"/>
      <c r="AC194" s="176"/>
      <c r="AD194" s="176"/>
      <c r="AE194" s="176"/>
      <c r="AF194" s="176"/>
      <c r="AG194" s="176"/>
      <c r="AH194" s="176"/>
      <c r="AI194" s="176"/>
      <c r="AJ194" s="176"/>
      <c r="AK194" s="176"/>
      <c r="AL194" s="176"/>
      <c r="AM194" s="176"/>
      <c r="AN194" s="176"/>
      <c r="AO194" s="176"/>
      <c r="AP194" s="176"/>
      <c r="AQ194" s="176"/>
    </row>
    <row r="195" ht="15.75" customHeight="1">
      <c r="A195" s="103"/>
      <c r="B195" s="103"/>
      <c r="C195" s="103"/>
      <c r="D195" s="104"/>
      <c r="E195" s="104"/>
      <c r="F195" s="104"/>
      <c r="G195" s="104"/>
      <c r="H195" s="104"/>
      <c r="I195" s="104"/>
      <c r="J195" s="104"/>
      <c r="K195" s="107"/>
      <c r="L195" s="107"/>
      <c r="M195" s="107"/>
      <c r="N195" s="107"/>
      <c r="O195" s="107"/>
      <c r="P195" s="107"/>
      <c r="Q195" s="107"/>
      <c r="R195" s="107"/>
      <c r="S195" s="107"/>
      <c r="T195" s="107"/>
      <c r="U195" s="107"/>
      <c r="V195" s="218"/>
      <c r="W195" s="219"/>
      <c r="X195" s="219"/>
      <c r="Y195" s="218"/>
      <c r="Z195" s="218"/>
      <c r="AA195" s="218"/>
      <c r="AB195" s="218"/>
      <c r="AC195" s="218"/>
      <c r="AD195" s="218"/>
      <c r="AE195" s="218"/>
      <c r="AF195" s="218"/>
      <c r="AG195" s="218"/>
      <c r="AH195" s="218"/>
      <c r="AI195" s="218"/>
      <c r="AJ195" s="218"/>
      <c r="AK195" s="218"/>
      <c r="AL195" s="218"/>
      <c r="AM195" s="218"/>
      <c r="AN195" s="218"/>
      <c r="AO195" s="218"/>
      <c r="AP195" s="218"/>
      <c r="AQ195" s="218"/>
    </row>
    <row r="196" ht="15.75" customHeight="1">
      <c r="A196" s="103"/>
      <c r="B196" s="103" t="s">
        <v>142</v>
      </c>
      <c r="C196" s="103"/>
      <c r="D196" s="104"/>
      <c r="E196" s="104"/>
      <c r="F196" s="104"/>
      <c r="G196" s="104"/>
      <c r="H196" s="104"/>
      <c r="I196" s="104"/>
      <c r="J196" s="104"/>
      <c r="K196" s="107">
        <f t="shared" ref="K196:O196" si="154">J102</f>
        <v>203165</v>
      </c>
      <c r="L196" s="107">
        <f t="shared" si="154"/>
        <v>363215</v>
      </c>
      <c r="M196" s="107">
        <f t="shared" si="154"/>
        <v>483445</v>
      </c>
      <c r="N196" s="107">
        <f t="shared" si="154"/>
        <v>455085</v>
      </c>
      <c r="O196" s="107">
        <f t="shared" si="154"/>
        <v>524470</v>
      </c>
      <c r="P196" s="372">
        <v>286424.0</v>
      </c>
      <c r="Q196" s="107">
        <f t="shared" ref="Q196:U196" si="155">P102</f>
        <v>428093</v>
      </c>
      <c r="R196" s="107">
        <f t="shared" si="155"/>
        <v>455340.0191</v>
      </c>
      <c r="S196" s="107">
        <f t="shared" si="155"/>
        <v>500541.9684</v>
      </c>
      <c r="T196" s="107">
        <f t="shared" si="155"/>
        <v>558379.6284</v>
      </c>
      <c r="U196" s="107">
        <f t="shared" si="155"/>
        <v>630691.6709</v>
      </c>
      <c r="V196" s="218"/>
      <c r="W196" s="219"/>
      <c r="X196" s="219"/>
      <c r="Y196" s="218"/>
      <c r="Z196" s="218"/>
      <c r="AA196" s="218"/>
      <c r="AB196" s="218"/>
      <c r="AC196" s="218"/>
      <c r="AD196" s="218"/>
      <c r="AE196" s="218"/>
      <c r="AF196" s="218"/>
      <c r="AG196" s="218"/>
      <c r="AH196" s="218"/>
      <c r="AI196" s="218"/>
      <c r="AJ196" s="218"/>
      <c r="AK196" s="218"/>
      <c r="AL196" s="218"/>
      <c r="AM196" s="218"/>
      <c r="AN196" s="218"/>
      <c r="AO196" s="218"/>
      <c r="AP196" s="218"/>
      <c r="AQ196" s="218"/>
    </row>
    <row r="197" ht="15.75" customHeight="1">
      <c r="A197" s="103"/>
      <c r="B197" s="103" t="s">
        <v>143</v>
      </c>
      <c r="C197" s="103"/>
      <c r="D197" s="104"/>
      <c r="E197" s="104"/>
      <c r="F197" s="104"/>
      <c r="G197" s="104"/>
      <c r="H197" s="104"/>
      <c r="I197" s="104"/>
      <c r="J197" s="104"/>
      <c r="K197" s="107">
        <f t="shared" ref="K197:U197" si="156">K171+K182+K191+K194</f>
        <v>147488</v>
      </c>
      <c r="L197" s="107">
        <f t="shared" si="156"/>
        <v>10487</v>
      </c>
      <c r="M197" s="107">
        <f t="shared" si="156"/>
        <v>-129116</v>
      </c>
      <c r="N197" s="107">
        <f t="shared" si="156"/>
        <v>2157</v>
      </c>
      <c r="O197" s="107">
        <f t="shared" si="156"/>
        <v>56914</v>
      </c>
      <c r="P197" s="107">
        <f t="shared" si="156"/>
        <v>-97156</v>
      </c>
      <c r="Q197" s="107">
        <f t="shared" si="156"/>
        <v>27247.01907</v>
      </c>
      <c r="R197" s="107">
        <f t="shared" si="156"/>
        <v>45201.94935</v>
      </c>
      <c r="S197" s="107">
        <f t="shared" si="156"/>
        <v>57837.66</v>
      </c>
      <c r="T197" s="107">
        <f t="shared" si="156"/>
        <v>72312.0425</v>
      </c>
      <c r="U197" s="107">
        <f t="shared" si="156"/>
        <v>88360.32721</v>
      </c>
      <c r="V197" s="218"/>
      <c r="W197" s="219"/>
      <c r="X197" s="219"/>
      <c r="Y197" s="218"/>
      <c r="Z197" s="218"/>
      <c r="AA197" s="218"/>
      <c r="AB197" s="218"/>
      <c r="AC197" s="218"/>
      <c r="AD197" s="218"/>
      <c r="AE197" s="218"/>
      <c r="AF197" s="218"/>
      <c r="AG197" s="218"/>
      <c r="AH197" s="218"/>
      <c r="AI197" s="218"/>
      <c r="AJ197" s="218"/>
      <c r="AK197" s="218"/>
      <c r="AL197" s="218"/>
      <c r="AM197" s="218"/>
      <c r="AN197" s="218"/>
      <c r="AO197" s="218"/>
      <c r="AP197" s="218"/>
      <c r="AQ197" s="218"/>
    </row>
    <row r="198" ht="15.75" customHeight="1">
      <c r="A198" s="374"/>
      <c r="B198" s="375" t="s">
        <v>144</v>
      </c>
      <c r="C198" s="375"/>
      <c r="D198" s="376"/>
      <c r="E198" s="376"/>
      <c r="F198" s="376"/>
      <c r="G198" s="376"/>
      <c r="H198" s="376"/>
      <c r="I198" s="376"/>
      <c r="J198" s="376"/>
      <c r="K198" s="377">
        <f t="shared" ref="K198:U198" si="157">K196+K197</f>
        <v>350653</v>
      </c>
      <c r="L198" s="377">
        <f t="shared" si="157"/>
        <v>373702</v>
      </c>
      <c r="M198" s="377">
        <f t="shared" si="157"/>
        <v>354329</v>
      </c>
      <c r="N198" s="377">
        <f t="shared" si="157"/>
        <v>457242</v>
      </c>
      <c r="O198" s="377">
        <f t="shared" si="157"/>
        <v>581384</v>
      </c>
      <c r="P198" s="377">
        <f t="shared" si="157"/>
        <v>189268</v>
      </c>
      <c r="Q198" s="377">
        <f t="shared" si="157"/>
        <v>455340.0191</v>
      </c>
      <c r="R198" s="377">
        <f t="shared" si="157"/>
        <v>500541.9684</v>
      </c>
      <c r="S198" s="377">
        <f t="shared" si="157"/>
        <v>558379.6284</v>
      </c>
      <c r="T198" s="377">
        <f t="shared" si="157"/>
        <v>630691.6709</v>
      </c>
      <c r="U198" s="377">
        <f t="shared" si="157"/>
        <v>719051.9981</v>
      </c>
      <c r="V198" s="218"/>
      <c r="W198" s="219"/>
      <c r="X198" s="219"/>
      <c r="Y198" s="218"/>
      <c r="Z198" s="218"/>
      <c r="AA198" s="218"/>
      <c r="AB198" s="218"/>
      <c r="AC198" s="218"/>
      <c r="AD198" s="218"/>
      <c r="AE198" s="218"/>
      <c r="AF198" s="218"/>
      <c r="AG198" s="218"/>
      <c r="AH198" s="218"/>
      <c r="AI198" s="218"/>
      <c r="AJ198" s="218"/>
      <c r="AK198" s="218"/>
      <c r="AL198" s="218"/>
      <c r="AM198" s="218"/>
      <c r="AN198" s="218"/>
      <c r="AO198" s="218"/>
      <c r="AP198" s="218"/>
      <c r="AQ198" s="218"/>
    </row>
    <row r="199" ht="15.75" customHeight="1">
      <c r="A199" s="103"/>
      <c r="B199" s="103"/>
      <c r="C199" s="103"/>
      <c r="D199" s="104"/>
      <c r="E199" s="104"/>
      <c r="F199" s="104"/>
      <c r="G199" s="104"/>
      <c r="H199" s="104"/>
      <c r="I199" s="104"/>
      <c r="J199" s="104"/>
      <c r="K199" s="107"/>
      <c r="L199" s="107"/>
      <c r="M199" s="107"/>
      <c r="N199" s="107"/>
      <c r="O199" s="107"/>
      <c r="P199" s="107"/>
      <c r="Q199" s="107"/>
      <c r="R199" s="107"/>
      <c r="S199" s="107"/>
      <c r="T199" s="107"/>
      <c r="U199" s="107"/>
      <c r="V199" s="176"/>
      <c r="W199" s="337"/>
      <c r="X199" s="337"/>
      <c r="Y199" s="176"/>
      <c r="Z199" s="176"/>
      <c r="AA199" s="176"/>
      <c r="AB199" s="176"/>
      <c r="AC199" s="176"/>
      <c r="AD199" s="176"/>
      <c r="AE199" s="176"/>
      <c r="AF199" s="176"/>
      <c r="AG199" s="176"/>
      <c r="AH199" s="176"/>
      <c r="AI199" s="176"/>
      <c r="AJ199" s="176"/>
      <c r="AK199" s="176"/>
      <c r="AL199" s="176"/>
      <c r="AM199" s="176"/>
      <c r="AN199" s="176"/>
      <c r="AO199" s="176"/>
      <c r="AP199" s="176"/>
      <c r="AQ199" s="176"/>
    </row>
    <row r="200" ht="15.75" customHeight="1">
      <c r="A200" s="378"/>
      <c r="B200" s="379" t="s">
        <v>145</v>
      </c>
      <c r="C200" s="379"/>
      <c r="D200" s="380"/>
      <c r="E200" s="380"/>
      <c r="F200" s="380"/>
      <c r="G200" s="380"/>
      <c r="H200" s="380"/>
      <c r="I200" s="380"/>
      <c r="J200" s="381">
        <f t="shared" ref="J200:U200" si="158">J45+J57+J161+J168+J176</f>
        <v>64596</v>
      </c>
      <c r="K200" s="381">
        <f t="shared" si="158"/>
        <v>106079</v>
      </c>
      <c r="L200" s="381">
        <f t="shared" si="158"/>
        <v>135917</v>
      </c>
      <c r="M200" s="381">
        <f t="shared" si="158"/>
        <v>46273</v>
      </c>
      <c r="N200" s="381">
        <f t="shared" si="158"/>
        <v>117528</v>
      </c>
      <c r="O200" s="381">
        <f t="shared" si="158"/>
        <v>114015</v>
      </c>
      <c r="P200" s="381">
        <f t="shared" si="158"/>
        <v>61255</v>
      </c>
      <c r="Q200" s="381">
        <f t="shared" si="158"/>
        <v>70565.98548</v>
      </c>
      <c r="R200" s="381">
        <f t="shared" si="158"/>
        <v>80762.4079</v>
      </c>
      <c r="S200" s="381">
        <f t="shared" si="158"/>
        <v>89717.19914</v>
      </c>
      <c r="T200" s="381">
        <f t="shared" si="158"/>
        <v>99902.99095</v>
      </c>
      <c r="U200" s="381">
        <f t="shared" si="158"/>
        <v>111113.1893</v>
      </c>
      <c r="V200" s="236"/>
      <c r="W200" s="237"/>
      <c r="X200" s="237"/>
      <c r="Y200" s="236"/>
      <c r="Z200" s="236"/>
      <c r="AA200" s="236"/>
      <c r="AB200" s="236"/>
      <c r="AC200" s="236"/>
      <c r="AD200" s="236"/>
      <c r="AE200" s="236"/>
      <c r="AF200" s="236"/>
      <c r="AG200" s="236"/>
      <c r="AH200" s="236"/>
      <c r="AI200" s="236"/>
      <c r="AJ200" s="236"/>
      <c r="AK200" s="236"/>
      <c r="AL200" s="236"/>
      <c r="AM200" s="236"/>
      <c r="AN200" s="236"/>
      <c r="AO200" s="236"/>
      <c r="AP200" s="236"/>
      <c r="AQ200" s="236"/>
    </row>
    <row r="201" ht="15.75" customHeight="1">
      <c r="A201" s="15"/>
      <c r="B201" s="15" t="s">
        <v>146</v>
      </c>
      <c r="C201" s="15"/>
      <c r="D201" s="37"/>
      <c r="E201" s="37"/>
      <c r="F201" s="37"/>
      <c r="G201" s="37"/>
      <c r="H201" s="37"/>
      <c r="I201" s="37"/>
      <c r="J201" s="37"/>
      <c r="K201" s="38">
        <f t="shared" ref="K201:U201" si="159">K200/J200-1</f>
        <v>0.642191467</v>
      </c>
      <c r="L201" s="38">
        <f t="shared" si="159"/>
        <v>0.2812809321</v>
      </c>
      <c r="M201" s="38">
        <f t="shared" si="159"/>
        <v>-0.6595495781</v>
      </c>
      <c r="N201" s="38">
        <f t="shared" si="159"/>
        <v>1.539882869</v>
      </c>
      <c r="O201" s="38">
        <f t="shared" si="159"/>
        <v>-0.02989074944</v>
      </c>
      <c r="P201" s="38">
        <f t="shared" si="159"/>
        <v>-0.4627461299</v>
      </c>
      <c r="Q201" s="38">
        <f t="shared" si="159"/>
        <v>0.152003681</v>
      </c>
      <c r="R201" s="38">
        <f t="shared" si="159"/>
        <v>0.1444948632</v>
      </c>
      <c r="S201" s="38">
        <f t="shared" si="159"/>
        <v>0.1108782102</v>
      </c>
      <c r="T201" s="38">
        <f t="shared" si="159"/>
        <v>0.113532209</v>
      </c>
      <c r="U201" s="38">
        <f t="shared" si="159"/>
        <v>0.1122108378</v>
      </c>
      <c r="W201" s="10"/>
      <c r="X201" s="10"/>
    </row>
    <row r="202" ht="15.75" customHeight="1">
      <c r="A202" s="15"/>
      <c r="B202" s="15" t="s">
        <v>147</v>
      </c>
      <c r="C202" s="15"/>
      <c r="D202" s="37"/>
      <c r="E202" s="37"/>
      <c r="F202" s="37"/>
      <c r="G202" s="37"/>
      <c r="H202" s="37"/>
      <c r="I202" s="37"/>
      <c r="J202" s="37"/>
      <c r="K202" s="382">
        <f t="shared" ref="K202:U202" si="160">K200/K66</f>
        <v>1.387070623</v>
      </c>
      <c r="L202" s="382">
        <f t="shared" si="160"/>
        <v>1.41562513</v>
      </c>
      <c r="M202" s="382">
        <f t="shared" si="160"/>
        <v>0.7433533069</v>
      </c>
      <c r="N202" s="382">
        <f t="shared" si="160"/>
        <v>1.61477268</v>
      </c>
      <c r="O202" s="382">
        <f t="shared" si="160"/>
        <v>1.425027184</v>
      </c>
      <c r="P202" s="382">
        <f t="shared" si="160"/>
        <v>0.470797562</v>
      </c>
      <c r="Q202" s="382">
        <f t="shared" si="160"/>
        <v>0.5649282573</v>
      </c>
      <c r="R202" s="382">
        <f t="shared" si="160"/>
        <v>0.5833771539</v>
      </c>
      <c r="S202" s="382">
        <f t="shared" si="160"/>
        <v>0.5864686547</v>
      </c>
      <c r="T202" s="382">
        <f t="shared" si="160"/>
        <v>0.5905988602</v>
      </c>
      <c r="U202" s="382">
        <f t="shared" si="160"/>
        <v>0.5937050287</v>
      </c>
      <c r="W202" s="10"/>
      <c r="X202" s="10"/>
    </row>
    <row r="203" ht="15.75" customHeight="1">
      <c r="A203" s="15"/>
      <c r="B203" s="15"/>
      <c r="C203" s="15"/>
      <c r="D203" s="37"/>
      <c r="E203" s="37"/>
      <c r="F203" s="37"/>
      <c r="G203" s="37"/>
      <c r="H203" s="37"/>
      <c r="I203" s="37"/>
      <c r="J203" s="37"/>
      <c r="K203" s="16"/>
      <c r="L203" s="16"/>
      <c r="M203" s="16"/>
      <c r="N203" s="16"/>
      <c r="O203" s="16"/>
      <c r="P203" s="383"/>
      <c r="Q203" s="383"/>
      <c r="R203" s="383"/>
      <c r="S203" s="383"/>
      <c r="T203" s="383"/>
      <c r="U203" s="383"/>
      <c r="W203" s="10"/>
      <c r="X203" s="10"/>
    </row>
    <row r="204" ht="15.75" customHeight="1">
      <c r="A204" s="384"/>
      <c r="B204" s="384" t="s">
        <v>148</v>
      </c>
      <c r="C204" s="384"/>
      <c r="D204" s="385"/>
      <c r="E204" s="385"/>
      <c r="F204" s="385"/>
      <c r="G204" s="385"/>
      <c r="H204" s="385"/>
      <c r="I204" s="385"/>
      <c r="J204" s="386">
        <f t="shared" ref="J204:U204" si="161">J171-J166+J176</f>
        <v>63841</v>
      </c>
      <c r="K204" s="386">
        <f t="shared" si="161"/>
        <v>116127</v>
      </c>
      <c r="L204" s="386">
        <f t="shared" si="161"/>
        <v>138850</v>
      </c>
      <c r="M204" s="386">
        <f t="shared" si="161"/>
        <v>65464</v>
      </c>
      <c r="N204" s="386">
        <f t="shared" si="161"/>
        <v>134569</v>
      </c>
      <c r="O204" s="386">
        <f t="shared" si="161"/>
        <v>131118</v>
      </c>
      <c r="P204" s="386">
        <f t="shared" si="161"/>
        <v>77537</v>
      </c>
      <c r="Q204" s="386">
        <f t="shared" si="161"/>
        <v>129824.6711</v>
      </c>
      <c r="R204" s="386">
        <f t="shared" si="161"/>
        <v>145202.1136</v>
      </c>
      <c r="S204" s="386">
        <f t="shared" si="161"/>
        <v>159935.9229</v>
      </c>
      <c r="T204" s="386">
        <f t="shared" si="161"/>
        <v>176653.6992</v>
      </c>
      <c r="U204" s="386">
        <f t="shared" si="161"/>
        <v>195238.7656</v>
      </c>
      <c r="V204" s="387"/>
      <c r="W204" s="387"/>
      <c r="X204" s="387"/>
      <c r="Y204" s="387"/>
      <c r="Z204" s="387"/>
      <c r="AA204" s="387"/>
      <c r="AB204" s="387"/>
      <c r="AC204" s="387"/>
      <c r="AD204" s="387"/>
      <c r="AE204" s="387"/>
      <c r="AF204" s="387"/>
      <c r="AG204" s="387"/>
      <c r="AH204" s="387"/>
      <c r="AI204" s="387"/>
      <c r="AJ204" s="387"/>
      <c r="AK204" s="387"/>
      <c r="AL204" s="387"/>
      <c r="AM204" s="387"/>
      <c r="AN204" s="387"/>
      <c r="AO204" s="387"/>
      <c r="AP204" s="387"/>
      <c r="AQ204" s="387"/>
    </row>
    <row r="205" ht="15.75" customHeight="1">
      <c r="A205" s="15"/>
      <c r="B205" s="15" t="s">
        <v>149</v>
      </c>
      <c r="C205" s="15"/>
      <c r="D205" s="37"/>
      <c r="E205" s="37"/>
      <c r="F205" s="37"/>
      <c r="G205" s="37"/>
      <c r="H205" s="37"/>
      <c r="I205" s="37"/>
      <c r="J205" s="202">
        <f t="shared" ref="J205:U205" si="162">J204/J66</f>
        <v>1.404364372</v>
      </c>
      <c r="K205" s="202">
        <f t="shared" si="162"/>
        <v>1.518456529</v>
      </c>
      <c r="L205" s="202">
        <f t="shared" si="162"/>
        <v>1.446173395</v>
      </c>
      <c r="M205" s="202">
        <f t="shared" si="162"/>
        <v>1.051647416</v>
      </c>
      <c r="N205" s="202">
        <f t="shared" si="162"/>
        <v>1.848907025</v>
      </c>
      <c r="O205" s="202">
        <f t="shared" si="162"/>
        <v>1.638790636</v>
      </c>
      <c r="P205" s="202">
        <f t="shared" si="162"/>
        <v>0.5959387898</v>
      </c>
      <c r="Q205" s="202">
        <f t="shared" si="162"/>
        <v>1.039333961</v>
      </c>
      <c r="R205" s="202">
        <f t="shared" si="162"/>
        <v>1.048849309</v>
      </c>
      <c r="S205" s="202">
        <f t="shared" si="162"/>
        <v>1.04547853</v>
      </c>
      <c r="T205" s="202">
        <f t="shared" si="162"/>
        <v>1.044327827</v>
      </c>
      <c r="U205" s="202">
        <f t="shared" si="162"/>
        <v>1.043208621</v>
      </c>
      <c r="W205" s="10"/>
      <c r="X205" s="10"/>
    </row>
    <row r="206" ht="15.75" customHeight="1">
      <c r="A206" s="15"/>
      <c r="B206" s="15"/>
      <c r="C206" s="15"/>
      <c r="D206" s="37"/>
      <c r="E206" s="37"/>
      <c r="F206" s="37"/>
      <c r="G206" s="37"/>
      <c r="H206" s="37"/>
      <c r="I206" s="37"/>
      <c r="J206" s="37"/>
      <c r="K206" s="16"/>
      <c r="L206" s="16"/>
      <c r="M206" s="16"/>
      <c r="N206" s="16"/>
      <c r="O206" s="16"/>
      <c r="P206" s="16"/>
      <c r="Q206" s="16"/>
      <c r="R206" s="16"/>
      <c r="S206" s="16"/>
      <c r="T206" s="16"/>
      <c r="U206" s="16"/>
      <c r="W206" s="10"/>
      <c r="X206" s="10"/>
    </row>
    <row r="207" ht="15.75" customHeight="1">
      <c r="A207" s="15"/>
      <c r="B207" s="15"/>
      <c r="C207" s="15"/>
      <c r="D207" s="37"/>
      <c r="E207" s="37"/>
      <c r="F207" s="37"/>
      <c r="G207" s="37"/>
      <c r="H207" s="37"/>
      <c r="I207" s="37"/>
      <c r="J207" s="37"/>
      <c r="K207" s="37"/>
      <c r="L207" s="37"/>
      <c r="M207" s="37"/>
      <c r="N207" s="37"/>
      <c r="O207" s="37"/>
      <c r="P207" s="37"/>
      <c r="Q207" s="37"/>
      <c r="R207" s="37"/>
      <c r="S207" s="37"/>
      <c r="T207" s="37"/>
      <c r="U207" s="37"/>
      <c r="W207" s="10"/>
      <c r="X207" s="10"/>
    </row>
    <row r="208" ht="15.75" customHeight="1">
      <c r="A208" s="15"/>
      <c r="B208" s="15"/>
      <c r="C208" s="15"/>
      <c r="D208" s="37"/>
      <c r="E208" s="37"/>
      <c r="F208" s="37"/>
      <c r="G208" s="37"/>
      <c r="H208" s="37"/>
      <c r="I208" s="37"/>
      <c r="J208" s="37"/>
      <c r="K208" s="37"/>
      <c r="L208" s="37"/>
      <c r="M208" s="37"/>
      <c r="N208" s="37"/>
      <c r="O208" s="37"/>
      <c r="P208" s="37"/>
      <c r="Q208" s="37"/>
      <c r="R208" s="37"/>
      <c r="S208" s="37"/>
      <c r="T208" s="37"/>
      <c r="U208" s="37"/>
      <c r="W208" s="10"/>
      <c r="X208" s="10"/>
    </row>
    <row r="209" ht="2.25" customHeight="1">
      <c r="A209" s="15"/>
      <c r="B209" s="15"/>
      <c r="C209" s="15"/>
      <c r="D209" s="37"/>
      <c r="E209" s="37"/>
      <c r="F209" s="37"/>
      <c r="G209" s="37"/>
      <c r="H209" s="37"/>
      <c r="I209" s="37"/>
      <c r="J209" s="37"/>
      <c r="K209" s="37"/>
      <c r="L209" s="37"/>
      <c r="M209" s="37"/>
      <c r="N209" s="37"/>
      <c r="O209" s="37"/>
      <c r="P209" s="37"/>
      <c r="Q209" s="37"/>
      <c r="R209" s="37"/>
      <c r="S209" s="37"/>
      <c r="T209" s="37"/>
      <c r="U209" s="37"/>
      <c r="W209" s="10"/>
      <c r="X209" s="10"/>
    </row>
    <row r="210" ht="15.75" customHeight="1">
      <c r="A210" s="388"/>
      <c r="B210" s="389" t="s">
        <v>150</v>
      </c>
      <c r="C210" s="196"/>
      <c r="D210" s="197"/>
      <c r="E210" s="197"/>
      <c r="F210" s="197"/>
      <c r="G210" s="197"/>
      <c r="H210" s="197"/>
      <c r="I210" s="197"/>
      <c r="J210" s="197"/>
      <c r="K210" s="197"/>
      <c r="L210" s="197"/>
      <c r="M210" s="197"/>
      <c r="N210" s="197"/>
      <c r="O210" s="197"/>
      <c r="P210" s="197"/>
      <c r="Q210" s="197"/>
      <c r="R210" s="197"/>
      <c r="S210" s="197"/>
      <c r="T210" s="197"/>
      <c r="U210" s="197"/>
      <c r="W210" s="10"/>
      <c r="X210" s="10"/>
    </row>
    <row r="211" ht="15.0" customHeight="1" outlineLevel="1">
      <c r="W211" s="10"/>
      <c r="X211" s="10"/>
    </row>
    <row r="212" ht="15.0" customHeight="1" outlineLevel="1">
      <c r="W212" s="10"/>
      <c r="X212" s="10"/>
    </row>
    <row r="213" ht="15.75" customHeight="1" outlineLevel="1">
      <c r="A213" s="323"/>
      <c r="B213" s="324" t="s">
        <v>151</v>
      </c>
      <c r="C213" s="324"/>
      <c r="D213" s="325"/>
      <c r="E213" s="325"/>
      <c r="F213" s="325"/>
      <c r="G213" s="325"/>
      <c r="H213" s="325"/>
      <c r="I213" s="325"/>
      <c r="J213" s="326">
        <f t="shared" ref="J213:O213" si="163">ABS(J161/J37)</f>
        <v>3.443273982</v>
      </c>
      <c r="K213" s="326">
        <f t="shared" si="163"/>
        <v>3.390362794</v>
      </c>
      <c r="L213" s="326">
        <f t="shared" si="163"/>
        <v>3.85523457</v>
      </c>
      <c r="M213" s="326">
        <f t="shared" si="163"/>
        <v>4.502997939</v>
      </c>
      <c r="N213" s="326">
        <f t="shared" si="163"/>
        <v>4.389600673</v>
      </c>
      <c r="O213" s="326">
        <f t="shared" si="163"/>
        <v>6.598072646</v>
      </c>
      <c r="P213" s="326">
        <f t="shared" ref="P213:U213" si="164">O213</f>
        <v>6.598072646</v>
      </c>
      <c r="Q213" s="326">
        <f t="shared" si="164"/>
        <v>6.598072646</v>
      </c>
      <c r="R213" s="326">
        <f t="shared" si="164"/>
        <v>6.598072646</v>
      </c>
      <c r="S213" s="326">
        <f t="shared" si="164"/>
        <v>6.598072646</v>
      </c>
      <c r="T213" s="326">
        <f t="shared" si="164"/>
        <v>6.598072646</v>
      </c>
      <c r="U213" s="326">
        <f t="shared" si="164"/>
        <v>6.598072646</v>
      </c>
      <c r="W213" s="10"/>
      <c r="X213" s="10"/>
    </row>
    <row r="214" ht="15.75" customHeight="1" outlineLevel="1">
      <c r="A214" s="323"/>
      <c r="B214" s="324" t="s">
        <v>152</v>
      </c>
      <c r="C214" s="324"/>
      <c r="D214" s="325"/>
      <c r="E214" s="325"/>
      <c r="F214" s="325"/>
      <c r="G214" s="325"/>
      <c r="H214" s="325"/>
      <c r="I214" s="325"/>
      <c r="J214" s="329">
        <f t="shared" ref="J214:O214" si="165">ABS(J162/J37)</f>
        <v>0.0134240701</v>
      </c>
      <c r="K214" s="329">
        <f t="shared" si="165"/>
        <v>0</v>
      </c>
      <c r="L214" s="329">
        <f t="shared" si="165"/>
        <v>0</v>
      </c>
      <c r="M214" s="329">
        <f t="shared" si="165"/>
        <v>0</v>
      </c>
      <c r="N214" s="329">
        <f t="shared" si="165"/>
        <v>0</v>
      </c>
      <c r="O214" s="329">
        <f t="shared" si="165"/>
        <v>0</v>
      </c>
      <c r="P214" s="329">
        <f t="shared" ref="P214:U214" si="166">O214</f>
        <v>0</v>
      </c>
      <c r="Q214" s="329">
        <f t="shared" si="166"/>
        <v>0</v>
      </c>
      <c r="R214" s="329">
        <f t="shared" si="166"/>
        <v>0</v>
      </c>
      <c r="S214" s="329">
        <f t="shared" si="166"/>
        <v>0</v>
      </c>
      <c r="T214" s="329">
        <f t="shared" si="166"/>
        <v>0</v>
      </c>
      <c r="U214" s="329">
        <f t="shared" si="166"/>
        <v>0</v>
      </c>
      <c r="W214" s="10"/>
      <c r="X214" s="10"/>
    </row>
    <row r="215" ht="15.75" customHeight="1" outlineLevel="1">
      <c r="A215" s="323"/>
      <c r="B215" s="15" t="s">
        <v>115</v>
      </c>
      <c r="C215" s="323"/>
      <c r="D215" s="390"/>
      <c r="E215" s="390"/>
      <c r="F215" s="390"/>
      <c r="G215" s="390"/>
      <c r="H215" s="390"/>
      <c r="I215" s="390"/>
      <c r="J215" s="328">
        <f t="shared" ref="J215:O215" si="167">J163/J7</f>
        <v>0.0001565634586</v>
      </c>
      <c r="K215" s="328">
        <f t="shared" si="167"/>
        <v>-0.01974844569</v>
      </c>
      <c r="L215" s="328">
        <f t="shared" si="167"/>
        <v>-0.0004293945676</v>
      </c>
      <c r="M215" s="328">
        <f t="shared" si="167"/>
        <v>-0.001208587418</v>
      </c>
      <c r="N215" s="328">
        <f t="shared" si="167"/>
        <v>-0.0002037557832</v>
      </c>
      <c r="O215" s="328">
        <f t="shared" si="167"/>
        <v>-0.001760578345</v>
      </c>
      <c r="P215" s="328">
        <f t="shared" ref="P215:U215" si="168">O215</f>
        <v>-0.001760578345</v>
      </c>
      <c r="Q215" s="328">
        <f t="shared" si="168"/>
        <v>-0.001760578345</v>
      </c>
      <c r="R215" s="328">
        <f t="shared" si="168"/>
        <v>-0.001760578345</v>
      </c>
      <c r="S215" s="328">
        <f t="shared" si="168"/>
        <v>-0.001760578345</v>
      </c>
      <c r="T215" s="328">
        <f t="shared" si="168"/>
        <v>-0.001760578345</v>
      </c>
      <c r="U215" s="328">
        <f t="shared" si="168"/>
        <v>-0.001760578345</v>
      </c>
      <c r="W215" s="10"/>
      <c r="X215" s="10"/>
    </row>
    <row r="216" ht="15.75" customHeight="1" outlineLevel="1">
      <c r="A216" s="323"/>
      <c r="B216" s="15" t="s">
        <v>116</v>
      </c>
      <c r="C216" s="323"/>
      <c r="D216" s="390"/>
      <c r="E216" s="390"/>
      <c r="F216" s="390"/>
      <c r="G216" s="390"/>
      <c r="H216" s="390"/>
      <c r="I216" s="390"/>
      <c r="J216" s="328">
        <f t="shared" ref="J216:O216" si="169">J164/J7</f>
        <v>0.004471346233</v>
      </c>
      <c r="K216" s="328">
        <f t="shared" si="169"/>
        <v>0.01150063467</v>
      </c>
      <c r="L216" s="328">
        <f t="shared" si="169"/>
        <v>0.002701839844</v>
      </c>
      <c r="M216" s="328">
        <f t="shared" si="169"/>
        <v>0.03207738711</v>
      </c>
      <c r="N216" s="328">
        <f t="shared" si="169"/>
        <v>0.005912371199</v>
      </c>
      <c r="O216" s="328">
        <f t="shared" si="169"/>
        <v>0.02327108444</v>
      </c>
      <c r="P216" s="328">
        <f t="shared" ref="P216:U216" si="170">O216</f>
        <v>0.02327108444</v>
      </c>
      <c r="Q216" s="328">
        <f t="shared" si="170"/>
        <v>0.02327108444</v>
      </c>
      <c r="R216" s="328">
        <f t="shared" si="170"/>
        <v>0.02327108444</v>
      </c>
      <c r="S216" s="328">
        <f t="shared" si="170"/>
        <v>0.02327108444</v>
      </c>
      <c r="T216" s="328">
        <f t="shared" si="170"/>
        <v>0.02327108444</v>
      </c>
      <c r="U216" s="328">
        <f t="shared" si="170"/>
        <v>0.02327108444</v>
      </c>
      <c r="W216" s="10"/>
      <c r="X216" s="10"/>
    </row>
    <row r="217" ht="15.75" customHeight="1" outlineLevel="1">
      <c r="A217" s="323"/>
      <c r="B217" s="391" t="s">
        <v>117</v>
      </c>
      <c r="C217" s="323"/>
      <c r="D217" s="390"/>
      <c r="E217" s="390"/>
      <c r="F217" s="390"/>
      <c r="G217" s="390"/>
      <c r="H217" s="390"/>
      <c r="I217" s="390"/>
      <c r="J217" s="328">
        <f t="shared" ref="J217:O217" si="171">J165/J7</f>
        <v>-0.09555678212</v>
      </c>
      <c r="K217" s="328">
        <f t="shared" si="171"/>
        <v>0.04294394274</v>
      </c>
      <c r="L217" s="328">
        <f t="shared" si="171"/>
        <v>-0.09317862117</v>
      </c>
      <c r="M217" s="328">
        <f t="shared" si="171"/>
        <v>0.01769039062</v>
      </c>
      <c r="N217" s="328">
        <f t="shared" si="171"/>
        <v>0.04187123786</v>
      </c>
      <c r="O217" s="328">
        <f t="shared" si="171"/>
        <v>0.04618622818</v>
      </c>
      <c r="P217" s="328">
        <f t="shared" ref="P217:U217" si="172">O217</f>
        <v>0.04618622818</v>
      </c>
      <c r="Q217" s="328">
        <f t="shared" si="172"/>
        <v>0.04618622818</v>
      </c>
      <c r="R217" s="328">
        <f t="shared" si="172"/>
        <v>0.04618622818</v>
      </c>
      <c r="S217" s="328">
        <f t="shared" si="172"/>
        <v>0.04618622818</v>
      </c>
      <c r="T217" s="328">
        <f t="shared" si="172"/>
        <v>0.04618622818</v>
      </c>
      <c r="U217" s="328">
        <f t="shared" si="172"/>
        <v>0.04618622818</v>
      </c>
      <c r="W217" s="10"/>
      <c r="X217" s="10"/>
    </row>
    <row r="218" ht="15.75" customHeight="1" outlineLevel="1">
      <c r="A218" s="323"/>
      <c r="B218" s="392" t="s">
        <v>153</v>
      </c>
      <c r="C218" s="392"/>
      <c r="D218" s="393"/>
      <c r="E218" s="393"/>
      <c r="F218" s="393"/>
      <c r="G218" s="393"/>
      <c r="H218" s="393"/>
      <c r="I218" s="393"/>
      <c r="J218" s="394"/>
      <c r="K218" s="394">
        <f t="shared" ref="K218:O218" si="173">K166/K7</f>
        <v>0.06227450457</v>
      </c>
      <c r="L218" s="394">
        <f t="shared" si="173"/>
        <v>0.06987420691</v>
      </c>
      <c r="M218" s="394">
        <f t="shared" si="173"/>
        <v>0.02809995053</v>
      </c>
      <c r="N218" s="394">
        <f t="shared" si="173"/>
        <v>0.03549149464</v>
      </c>
      <c r="O218" s="394">
        <f t="shared" si="173"/>
        <v>0.01970530235</v>
      </c>
      <c r="P218" s="394">
        <f t="shared" ref="P218:U218" si="174">O218</f>
        <v>0.01970530235</v>
      </c>
      <c r="Q218" s="394">
        <f t="shared" si="174"/>
        <v>0.01970530235</v>
      </c>
      <c r="R218" s="394">
        <f t="shared" si="174"/>
        <v>0.01970530235</v>
      </c>
      <c r="S218" s="394">
        <f t="shared" si="174"/>
        <v>0.01970530235</v>
      </c>
      <c r="T218" s="394">
        <f t="shared" si="174"/>
        <v>0.01970530235</v>
      </c>
      <c r="U218" s="394">
        <f t="shared" si="174"/>
        <v>0.01970530235</v>
      </c>
      <c r="W218" s="10"/>
      <c r="X218" s="10"/>
    </row>
    <row r="219" ht="15.75" customHeight="1" outlineLevel="1">
      <c r="A219" s="323"/>
      <c r="B219" s="324" t="s">
        <v>154</v>
      </c>
      <c r="C219" s="324"/>
      <c r="D219" s="325"/>
      <c r="E219" s="325"/>
      <c r="F219" s="325"/>
      <c r="G219" s="325"/>
      <c r="H219" s="325"/>
      <c r="I219" s="325"/>
      <c r="J219" s="329">
        <f t="shared" ref="J219:O219" si="175">J167/J7</f>
        <v>-0.02511914745</v>
      </c>
      <c r="K219" s="329">
        <f t="shared" si="175"/>
        <v>-0.1610677423</v>
      </c>
      <c r="L219" s="329">
        <f t="shared" si="175"/>
        <v>-0.002959755412</v>
      </c>
      <c r="M219" s="329">
        <f t="shared" si="175"/>
        <v>-0.01734926652</v>
      </c>
      <c r="N219" s="329">
        <f t="shared" si="175"/>
        <v>-0.00646262693</v>
      </c>
      <c r="O219" s="329">
        <f t="shared" si="175"/>
        <v>-0.01108303725</v>
      </c>
      <c r="P219" s="329">
        <f t="shared" ref="P219:U219" si="176">O219</f>
        <v>-0.01108303725</v>
      </c>
      <c r="Q219" s="329">
        <f t="shared" si="176"/>
        <v>-0.01108303725</v>
      </c>
      <c r="R219" s="329">
        <f t="shared" si="176"/>
        <v>-0.01108303725</v>
      </c>
      <c r="S219" s="329">
        <f t="shared" si="176"/>
        <v>-0.01108303725</v>
      </c>
      <c r="T219" s="329">
        <f t="shared" si="176"/>
        <v>-0.01108303725</v>
      </c>
      <c r="U219" s="329">
        <f t="shared" si="176"/>
        <v>-0.01108303725</v>
      </c>
      <c r="W219" s="10"/>
      <c r="X219" s="10"/>
    </row>
    <row r="220" ht="15.75" customHeight="1" outlineLevel="1">
      <c r="A220" s="323"/>
      <c r="B220" s="15" t="s">
        <v>155</v>
      </c>
      <c r="C220" s="323"/>
      <c r="D220" s="390"/>
      <c r="E220" s="390"/>
      <c r="F220" s="390"/>
      <c r="G220" s="390"/>
      <c r="H220" s="390"/>
      <c r="I220" s="390"/>
      <c r="J220" s="395">
        <f t="shared" ref="J220:O220" si="177">J169/J7</f>
        <v>0</v>
      </c>
      <c r="K220" s="395">
        <f t="shared" si="177"/>
        <v>0</v>
      </c>
      <c r="L220" s="395">
        <f t="shared" si="177"/>
        <v>0</v>
      </c>
      <c r="M220" s="395">
        <f t="shared" si="177"/>
        <v>0</v>
      </c>
      <c r="N220" s="395">
        <f t="shared" si="177"/>
        <v>0</v>
      </c>
      <c r="O220" s="395">
        <f t="shared" si="177"/>
        <v>0</v>
      </c>
      <c r="P220" s="395">
        <f t="shared" ref="P220:U220" si="178">O220</f>
        <v>0</v>
      </c>
      <c r="Q220" s="395">
        <f t="shared" si="178"/>
        <v>0</v>
      </c>
      <c r="R220" s="395">
        <f t="shared" si="178"/>
        <v>0</v>
      </c>
      <c r="S220" s="395">
        <f t="shared" si="178"/>
        <v>0</v>
      </c>
      <c r="T220" s="395">
        <f t="shared" si="178"/>
        <v>0</v>
      </c>
      <c r="U220" s="395">
        <f t="shared" si="178"/>
        <v>0</v>
      </c>
      <c r="W220" s="10"/>
      <c r="X220" s="10"/>
    </row>
    <row r="221" ht="15.75" customHeight="1" outlineLevel="1">
      <c r="A221" s="323"/>
      <c r="B221" s="15" t="s">
        <v>156</v>
      </c>
      <c r="C221" s="323"/>
      <c r="D221" s="390"/>
      <c r="E221" s="390"/>
      <c r="F221" s="390"/>
      <c r="G221" s="390"/>
      <c r="H221" s="390"/>
      <c r="I221" s="390"/>
      <c r="J221" s="328">
        <f t="shared" ref="J221:O221" si="179">J170/J7</f>
        <v>0</v>
      </c>
      <c r="K221" s="328">
        <f t="shared" si="179"/>
        <v>0</v>
      </c>
      <c r="L221" s="328">
        <f t="shared" si="179"/>
        <v>0</v>
      </c>
      <c r="M221" s="328">
        <f t="shared" si="179"/>
        <v>0</v>
      </c>
      <c r="N221" s="328">
        <f t="shared" si="179"/>
        <v>0</v>
      </c>
      <c r="O221" s="328">
        <f t="shared" si="179"/>
        <v>0</v>
      </c>
      <c r="P221" s="328">
        <f t="shared" ref="P221:U221" si="180">O221</f>
        <v>0</v>
      </c>
      <c r="Q221" s="328">
        <f t="shared" si="180"/>
        <v>0</v>
      </c>
      <c r="R221" s="328">
        <f t="shared" si="180"/>
        <v>0</v>
      </c>
      <c r="S221" s="328">
        <f t="shared" si="180"/>
        <v>0</v>
      </c>
      <c r="T221" s="328">
        <f t="shared" si="180"/>
        <v>0</v>
      </c>
      <c r="U221" s="328">
        <f t="shared" si="180"/>
        <v>0</v>
      </c>
      <c r="W221" s="10"/>
      <c r="X221" s="10"/>
    </row>
    <row r="222" ht="15.75" customHeight="1" outlineLevel="1">
      <c r="A222" s="323"/>
      <c r="B222" s="396" t="s">
        <v>157</v>
      </c>
      <c r="C222" s="396"/>
      <c r="D222" s="397"/>
      <c r="E222" s="397"/>
      <c r="F222" s="397"/>
      <c r="G222" s="397"/>
      <c r="H222" s="397"/>
      <c r="I222" s="397"/>
      <c r="J222" s="398"/>
      <c r="K222" s="398">
        <f t="shared" ref="K222:P222" si="181">K174/J7</f>
        <v>-0.08637526403</v>
      </c>
      <c r="L222" s="398">
        <f t="shared" si="181"/>
        <v>-0.08132059147</v>
      </c>
      <c r="M222" s="398">
        <f t="shared" si="181"/>
        <v>-0.07432011365</v>
      </c>
      <c r="N222" s="398">
        <f t="shared" si="181"/>
        <v>-0.04024326485</v>
      </c>
      <c r="O222" s="398">
        <f t="shared" si="181"/>
        <v>-0.03693735488</v>
      </c>
      <c r="P222" s="398">
        <f t="shared" si="181"/>
        <v>-0.09134607211</v>
      </c>
      <c r="Q222" s="398">
        <f t="shared" ref="Q222:U222" si="182">P222</f>
        <v>-0.09134607211</v>
      </c>
      <c r="R222" s="398">
        <f t="shared" si="182"/>
        <v>-0.09134607211</v>
      </c>
      <c r="S222" s="398">
        <f t="shared" si="182"/>
        <v>-0.09134607211</v>
      </c>
      <c r="T222" s="398">
        <f t="shared" si="182"/>
        <v>-0.09134607211</v>
      </c>
      <c r="U222" s="398">
        <f t="shared" si="182"/>
        <v>-0.09134607211</v>
      </c>
      <c r="W222" s="10"/>
      <c r="X222" s="10"/>
    </row>
    <row r="223" ht="15.75" customHeight="1" outlineLevel="1">
      <c r="A223" s="323"/>
      <c r="B223" s="323" t="s">
        <v>158</v>
      </c>
      <c r="C223" s="323"/>
      <c r="D223" s="390"/>
      <c r="E223" s="390"/>
      <c r="F223" s="390"/>
      <c r="G223" s="390"/>
      <c r="H223" s="390"/>
      <c r="I223" s="390"/>
      <c r="J223" s="328"/>
      <c r="K223" s="328">
        <f t="shared" ref="K223:O223" si="183">K175/J7</f>
        <v>-0.0004988801732</v>
      </c>
      <c r="L223" s="328">
        <f t="shared" si="183"/>
        <v>-0.002679950011</v>
      </c>
      <c r="M223" s="328">
        <f t="shared" si="183"/>
        <v>-0.0000209120731</v>
      </c>
      <c r="N223" s="328">
        <f t="shared" si="183"/>
        <v>-0.00002578945024</v>
      </c>
      <c r="O223" s="328">
        <f t="shared" si="183"/>
        <v>-0.0009692789232</v>
      </c>
      <c r="P223" s="328">
        <f t="shared" ref="P223:U223" si="184">O223</f>
        <v>-0.0009692789232</v>
      </c>
      <c r="Q223" s="328">
        <f t="shared" si="184"/>
        <v>-0.0009692789232</v>
      </c>
      <c r="R223" s="328">
        <f t="shared" si="184"/>
        <v>-0.0009692789232</v>
      </c>
      <c r="S223" s="328">
        <f t="shared" si="184"/>
        <v>-0.0009692789232</v>
      </c>
      <c r="T223" s="328">
        <f t="shared" si="184"/>
        <v>-0.0009692789232</v>
      </c>
      <c r="U223" s="328">
        <f t="shared" si="184"/>
        <v>-0.0009692789232</v>
      </c>
      <c r="W223" s="10"/>
      <c r="X223" s="10"/>
    </row>
    <row r="224" ht="15.75" customHeight="1" outlineLevel="1">
      <c r="A224" s="323"/>
      <c r="B224" s="399" t="s">
        <v>159</v>
      </c>
      <c r="C224" s="399"/>
      <c r="D224" s="400"/>
      <c r="E224" s="400"/>
      <c r="F224" s="400"/>
      <c r="G224" s="400"/>
      <c r="H224" s="400"/>
      <c r="I224" s="400"/>
      <c r="J224" s="401">
        <f t="shared" ref="J224:O224" si="185">J180/J171</f>
        <v>-0.4369266435</v>
      </c>
      <c r="K224" s="401">
        <f t="shared" si="185"/>
        <v>-0.3347766144</v>
      </c>
      <c r="L224" s="401">
        <f t="shared" si="185"/>
        <v>-0.7816822414</v>
      </c>
      <c r="M224" s="401">
        <f t="shared" si="185"/>
        <v>-0.9825370029</v>
      </c>
      <c r="N224" s="401">
        <f t="shared" si="185"/>
        <v>-0.5081851496</v>
      </c>
      <c r="O224" s="401">
        <f t="shared" si="185"/>
        <v>0.0629816039</v>
      </c>
      <c r="P224" s="401">
        <f t="shared" ref="P224:U224" si="186">(N224+M224+L224+K224+J224+O224)/6</f>
        <v>-0.4968543413</v>
      </c>
      <c r="Q224" s="401">
        <f t="shared" si="186"/>
        <v>-0.506842291</v>
      </c>
      <c r="R224" s="401">
        <f t="shared" si="186"/>
        <v>-0.5355199037</v>
      </c>
      <c r="S224" s="401">
        <f t="shared" si="186"/>
        <v>-0.4944928474</v>
      </c>
      <c r="T224" s="401">
        <f t="shared" si="186"/>
        <v>-0.4131521549</v>
      </c>
      <c r="U224" s="401">
        <f t="shared" si="186"/>
        <v>-0.3973133224</v>
      </c>
      <c r="W224" s="10"/>
      <c r="X224" s="10"/>
    </row>
    <row r="225" ht="15.75" customHeight="1" outlineLevel="1">
      <c r="A225" s="323"/>
      <c r="B225" s="232" t="s">
        <v>127</v>
      </c>
      <c r="C225" s="399"/>
      <c r="D225" s="400"/>
      <c r="E225" s="400"/>
      <c r="F225" s="400"/>
      <c r="G225" s="400"/>
      <c r="H225" s="400"/>
      <c r="I225" s="400"/>
      <c r="J225" s="401">
        <f t="shared" ref="J225:O225" si="187">J177/J7</f>
        <v>0</v>
      </c>
      <c r="K225" s="401">
        <f t="shared" si="187"/>
        <v>0</v>
      </c>
      <c r="L225" s="401">
        <f t="shared" si="187"/>
        <v>0</v>
      </c>
      <c r="M225" s="401">
        <f t="shared" si="187"/>
        <v>0</v>
      </c>
      <c r="N225" s="401">
        <f t="shared" si="187"/>
        <v>0.0007413487251</v>
      </c>
      <c r="O225" s="401">
        <f t="shared" si="187"/>
        <v>0.0003963160668</v>
      </c>
      <c r="P225" s="401">
        <f t="shared" ref="P225:U225" si="188">O225</f>
        <v>0.0003963160668</v>
      </c>
      <c r="Q225" s="401">
        <f t="shared" si="188"/>
        <v>0.0003963160668</v>
      </c>
      <c r="R225" s="401">
        <f t="shared" si="188"/>
        <v>0.0003963160668</v>
      </c>
      <c r="S225" s="401">
        <f t="shared" si="188"/>
        <v>0.0003963160668</v>
      </c>
      <c r="T225" s="401">
        <f t="shared" si="188"/>
        <v>0.0003963160668</v>
      </c>
      <c r="U225" s="401">
        <f t="shared" si="188"/>
        <v>0.0003963160668</v>
      </c>
      <c r="W225" s="10"/>
      <c r="X225" s="10"/>
    </row>
    <row r="226" ht="15.75" customHeight="1" outlineLevel="1">
      <c r="A226" s="323"/>
      <c r="B226" s="399" t="s">
        <v>160</v>
      </c>
      <c r="C226" s="399"/>
      <c r="D226" s="400"/>
      <c r="E226" s="400"/>
      <c r="F226" s="400"/>
      <c r="G226" s="400"/>
      <c r="H226" s="400"/>
      <c r="I226" s="400"/>
      <c r="J226" s="401"/>
      <c r="K226" s="401">
        <f t="shared" ref="K226:O226" si="189">K181/K171</f>
        <v>-0.001262409541</v>
      </c>
      <c r="L226" s="401">
        <f t="shared" si="189"/>
        <v>-0.004020950359</v>
      </c>
      <c r="M226" s="401">
        <f t="shared" si="189"/>
        <v>-0.006332350325</v>
      </c>
      <c r="N226" s="401">
        <f t="shared" si="189"/>
        <v>0.004615723497</v>
      </c>
      <c r="O226" s="401">
        <f t="shared" si="189"/>
        <v>0.00403629931</v>
      </c>
      <c r="P226" s="401">
        <f t="shared" ref="P226:U226" si="190">O226</f>
        <v>0.00403629931</v>
      </c>
      <c r="Q226" s="401">
        <f t="shared" si="190"/>
        <v>0.00403629931</v>
      </c>
      <c r="R226" s="401">
        <f t="shared" si="190"/>
        <v>0.00403629931</v>
      </c>
      <c r="S226" s="401">
        <f t="shared" si="190"/>
        <v>0.00403629931</v>
      </c>
      <c r="T226" s="401">
        <f t="shared" si="190"/>
        <v>0.00403629931</v>
      </c>
      <c r="U226" s="401">
        <f t="shared" si="190"/>
        <v>0.00403629931</v>
      </c>
      <c r="W226" s="10"/>
      <c r="X226" s="10"/>
    </row>
    <row r="227" ht="15.75" customHeight="1" outlineLevel="1">
      <c r="A227" s="323"/>
      <c r="B227" s="392" t="s">
        <v>161</v>
      </c>
      <c r="C227" s="392"/>
      <c r="D227" s="393"/>
      <c r="E227" s="393"/>
      <c r="F227" s="393"/>
      <c r="G227" s="393"/>
      <c r="H227" s="393"/>
      <c r="I227" s="393"/>
      <c r="J227" s="394"/>
      <c r="K227" s="394">
        <f t="shared" ref="K227:O227" si="191">K177/J7</f>
        <v>0</v>
      </c>
      <c r="L227" s="394">
        <f t="shared" si="191"/>
        <v>0</v>
      </c>
      <c r="M227" s="394">
        <f t="shared" si="191"/>
        <v>0</v>
      </c>
      <c r="N227" s="394">
        <f t="shared" si="191"/>
        <v>0.0007549275434</v>
      </c>
      <c r="O227" s="394">
        <f t="shared" si="191"/>
        <v>0.000429383656</v>
      </c>
      <c r="P227" s="394">
        <v>0.0</v>
      </c>
      <c r="Q227" s="394">
        <v>0.0</v>
      </c>
      <c r="R227" s="394">
        <v>0.0</v>
      </c>
      <c r="S227" s="394">
        <v>0.0</v>
      </c>
      <c r="T227" s="394">
        <v>0.0</v>
      </c>
      <c r="U227" s="394">
        <v>0.0</v>
      </c>
      <c r="W227" s="10"/>
      <c r="X227" s="10"/>
    </row>
    <row r="228" ht="15.75" customHeight="1" outlineLevel="1">
      <c r="A228" s="323"/>
      <c r="B228" s="402" t="s">
        <v>162</v>
      </c>
      <c r="C228" s="402"/>
      <c r="D228" s="403"/>
      <c r="E228" s="403"/>
      <c r="F228" s="403"/>
      <c r="G228" s="403"/>
      <c r="H228" s="403"/>
      <c r="I228" s="403"/>
      <c r="J228" s="404"/>
      <c r="K228" s="404">
        <v>-0.22</v>
      </c>
      <c r="L228" s="404">
        <f t="shared" ref="L228:O228" si="192">L186/K200</f>
        <v>0.2955250332</v>
      </c>
      <c r="M228" s="404">
        <f t="shared" si="192"/>
        <v>-0.05360624499</v>
      </c>
      <c r="N228" s="404">
        <f t="shared" si="192"/>
        <v>0.2451105396</v>
      </c>
      <c r="O228" s="404">
        <f t="shared" si="192"/>
        <v>0.02097372541</v>
      </c>
      <c r="P228" s="404">
        <v>-0.22</v>
      </c>
      <c r="Q228" s="405">
        <v>-0.22</v>
      </c>
      <c r="R228" s="405">
        <v>-0.22</v>
      </c>
      <c r="S228" s="405">
        <v>-0.22</v>
      </c>
      <c r="T228" s="405">
        <v>-0.22</v>
      </c>
      <c r="U228" s="405">
        <v>-0.22</v>
      </c>
      <c r="W228" s="10"/>
      <c r="X228" s="10"/>
    </row>
    <row r="229" ht="15.75" customHeight="1" outlineLevel="1">
      <c r="A229" s="323"/>
      <c r="B229" s="324" t="s">
        <v>163</v>
      </c>
      <c r="C229" s="324"/>
      <c r="D229" s="325"/>
      <c r="E229" s="325"/>
      <c r="F229" s="325"/>
      <c r="G229" s="325"/>
      <c r="H229" s="325"/>
      <c r="I229" s="325"/>
      <c r="J229" s="326"/>
      <c r="K229" s="326"/>
      <c r="L229" s="326"/>
      <c r="M229" s="326"/>
      <c r="N229" s="326"/>
      <c r="O229" s="326"/>
      <c r="P229" s="326"/>
      <c r="Q229" s="326"/>
      <c r="R229" s="326"/>
      <c r="S229" s="326"/>
      <c r="T229" s="326"/>
      <c r="U229" s="326"/>
      <c r="V229" s="336"/>
      <c r="W229" s="10"/>
      <c r="X229" s="10"/>
    </row>
    <row r="230" ht="15.75" customHeight="1" outlineLevel="1">
      <c r="A230" s="323"/>
      <c r="B230" s="324" t="s">
        <v>164</v>
      </c>
      <c r="C230" s="324"/>
      <c r="D230" s="325"/>
      <c r="E230" s="325"/>
      <c r="F230" s="325"/>
      <c r="G230" s="325"/>
      <c r="H230" s="325"/>
      <c r="I230" s="325"/>
      <c r="J230" s="326"/>
      <c r="K230" s="326">
        <f t="shared" ref="K230:N230" si="193">K189/K160</f>
        <v>0</v>
      </c>
      <c r="L230" s="326">
        <f t="shared" si="193"/>
        <v>0</v>
      </c>
      <c r="M230" s="326">
        <f t="shared" si="193"/>
        <v>0</v>
      </c>
      <c r="N230" s="326">
        <f t="shared" si="193"/>
        <v>0</v>
      </c>
      <c r="O230" s="406">
        <v>0.0</v>
      </c>
      <c r="P230" s="406">
        <v>0.0</v>
      </c>
      <c r="Q230" s="406">
        <v>0.0</v>
      </c>
      <c r="R230" s="406">
        <v>0.0</v>
      </c>
      <c r="S230" s="406">
        <v>0.0</v>
      </c>
      <c r="T230" s="406">
        <v>0.0</v>
      </c>
      <c r="U230" s="406">
        <v>0.0</v>
      </c>
      <c r="W230" s="10"/>
      <c r="X230" s="10"/>
    </row>
    <row r="231" ht="15.75" customHeight="1" outlineLevel="1">
      <c r="A231" s="323"/>
      <c r="B231" s="324" t="s">
        <v>165</v>
      </c>
      <c r="C231" s="324"/>
      <c r="D231" s="325"/>
      <c r="E231" s="325"/>
      <c r="F231" s="325"/>
      <c r="G231" s="325"/>
      <c r="H231" s="325"/>
      <c r="I231" s="325"/>
      <c r="J231" s="326">
        <f t="shared" ref="J231:O231" si="194">J190/J7</f>
        <v>0.0195226672</v>
      </c>
      <c r="K231" s="326">
        <f t="shared" si="194"/>
        <v>-0.00908554063</v>
      </c>
      <c r="L231" s="326">
        <f t="shared" si="194"/>
        <v>-0.0009326784601</v>
      </c>
      <c r="M231" s="326">
        <f t="shared" si="194"/>
        <v>0.004633895309</v>
      </c>
      <c r="N231" s="326">
        <f t="shared" si="194"/>
        <v>-0.002562487985</v>
      </c>
      <c r="O231" s="326">
        <f t="shared" si="194"/>
        <v>-0.005164858984</v>
      </c>
      <c r="P231" s="326">
        <f t="shared" ref="P231:U231" si="195">O231</f>
        <v>-0.005164858984</v>
      </c>
      <c r="Q231" s="326">
        <f t="shared" si="195"/>
        <v>-0.005164858984</v>
      </c>
      <c r="R231" s="326">
        <f t="shared" si="195"/>
        <v>-0.005164858984</v>
      </c>
      <c r="S231" s="326">
        <f t="shared" si="195"/>
        <v>-0.005164858984</v>
      </c>
      <c r="T231" s="326">
        <f t="shared" si="195"/>
        <v>-0.005164858984</v>
      </c>
      <c r="U231" s="326">
        <f t="shared" si="195"/>
        <v>-0.005164858984</v>
      </c>
      <c r="W231" s="10"/>
      <c r="X231" s="10"/>
    </row>
    <row r="232" ht="15.75" customHeight="1" outlineLevel="1">
      <c r="A232" s="323"/>
      <c r="B232" s="324" t="s">
        <v>166</v>
      </c>
      <c r="C232" s="324"/>
      <c r="D232" s="325"/>
      <c r="E232" s="325"/>
      <c r="F232" s="325"/>
      <c r="G232" s="325"/>
      <c r="H232" s="325"/>
      <c r="I232" s="325"/>
      <c r="J232" s="326"/>
      <c r="K232" s="326">
        <f t="shared" ref="K232:O232" si="196">K181/J7</f>
        <v>-0.0006050248909</v>
      </c>
      <c r="L232" s="326">
        <f t="shared" si="196"/>
        <v>-0.001828487123</v>
      </c>
      <c r="M232" s="326">
        <f t="shared" si="196"/>
        <v>-0.001260300939</v>
      </c>
      <c r="N232" s="326">
        <f t="shared" si="196"/>
        <v>0.001080812415</v>
      </c>
      <c r="O232" s="326">
        <f t="shared" si="196"/>
        <v>0.0008484068485</v>
      </c>
      <c r="P232" s="326">
        <v>0.0</v>
      </c>
      <c r="Q232" s="326">
        <v>0.0</v>
      </c>
      <c r="R232" s="326">
        <v>0.0</v>
      </c>
      <c r="S232" s="326">
        <v>0.0</v>
      </c>
      <c r="T232" s="326">
        <v>0.0</v>
      </c>
      <c r="U232" s="326">
        <v>0.0</v>
      </c>
      <c r="W232" s="10"/>
      <c r="X232" s="10"/>
    </row>
    <row r="233" ht="15.75" customHeight="1" outlineLevel="1">
      <c r="A233" s="323"/>
      <c r="B233" s="392" t="s">
        <v>167</v>
      </c>
      <c r="C233" s="392"/>
      <c r="D233" s="393"/>
      <c r="E233" s="393"/>
      <c r="F233" s="393"/>
      <c r="G233" s="393"/>
      <c r="H233" s="393"/>
      <c r="I233" s="393"/>
      <c r="J233" s="394"/>
      <c r="K233" s="394"/>
      <c r="L233" s="394"/>
      <c r="M233" s="394"/>
      <c r="N233" s="394"/>
      <c r="O233" s="407"/>
      <c r="P233" s="408"/>
      <c r="Q233" s="408"/>
      <c r="R233" s="408"/>
      <c r="S233" s="408"/>
      <c r="T233" s="408"/>
      <c r="U233" s="408"/>
      <c r="W233" s="10"/>
      <c r="X233" s="10"/>
    </row>
    <row r="234" ht="15.75" customHeight="1" outlineLevel="1">
      <c r="A234" s="323"/>
      <c r="B234" s="392" t="s">
        <v>168</v>
      </c>
      <c r="C234" s="392"/>
      <c r="D234" s="393"/>
      <c r="E234" s="393"/>
      <c r="F234" s="393"/>
      <c r="G234" s="393"/>
      <c r="H234" s="393"/>
      <c r="I234" s="393"/>
      <c r="J234" s="394"/>
      <c r="K234" s="394"/>
      <c r="L234" s="394"/>
      <c r="M234" s="394"/>
      <c r="N234" s="394"/>
      <c r="O234" s="407"/>
      <c r="P234" s="408">
        <f>P188/J259</f>
        <v>-866.62</v>
      </c>
      <c r="Q234" s="408">
        <f t="shared" ref="Q234:U234" si="197">Q188/(J259*8)</f>
        <v>-108.3275</v>
      </c>
      <c r="R234" s="408">
        <f t="shared" si="197"/>
        <v>-90.27291667</v>
      </c>
      <c r="S234" s="408">
        <f t="shared" si="197"/>
        <v>-77.37678571</v>
      </c>
      <c r="T234" s="408">
        <f t="shared" si="197"/>
        <v>-67.7046875</v>
      </c>
      <c r="U234" s="408">
        <f t="shared" si="197"/>
        <v>-60.18194444</v>
      </c>
      <c r="W234" s="10"/>
      <c r="X234" s="10"/>
    </row>
    <row r="235" ht="15.75" customHeight="1" outlineLevel="1">
      <c r="A235" s="323"/>
      <c r="B235" s="402" t="s">
        <v>169</v>
      </c>
      <c r="C235" s="402"/>
      <c r="D235" s="403"/>
      <c r="E235" s="403"/>
      <c r="F235" s="403"/>
      <c r="G235" s="403"/>
      <c r="H235" s="403"/>
      <c r="I235" s="403"/>
      <c r="J235" s="404"/>
      <c r="K235" s="404">
        <f t="shared" ref="K235:O235" si="198">K194/J7</f>
        <v>0.01087983357</v>
      </c>
      <c r="L235" s="404">
        <f t="shared" si="198"/>
        <v>-0.01410014695</v>
      </c>
      <c r="M235" s="404">
        <f t="shared" si="198"/>
        <v>-0.01231581692</v>
      </c>
      <c r="N235" s="404">
        <f t="shared" si="198"/>
        <v>0.004138034516</v>
      </c>
      <c r="O235" s="404">
        <f t="shared" si="198"/>
        <v>0.005052452725</v>
      </c>
      <c r="P235" s="404">
        <v>-0.003</v>
      </c>
      <c r="Q235" s="404">
        <v>-0.003</v>
      </c>
      <c r="R235" s="404">
        <v>-0.003</v>
      </c>
      <c r="S235" s="404">
        <v>-0.003</v>
      </c>
      <c r="T235" s="404">
        <v>-0.003</v>
      </c>
      <c r="U235" s="404">
        <v>-0.003</v>
      </c>
      <c r="W235" s="10"/>
      <c r="X235" s="10"/>
    </row>
    <row r="236" ht="15.75" customHeight="1" outlineLevel="1">
      <c r="A236" s="323"/>
      <c r="B236" s="324"/>
      <c r="C236" s="324"/>
      <c r="D236" s="325"/>
      <c r="E236" s="325"/>
      <c r="F236" s="325"/>
      <c r="G236" s="325"/>
      <c r="H236" s="325"/>
      <c r="I236" s="325"/>
      <c r="J236" s="326"/>
      <c r="K236" s="326"/>
      <c r="L236" s="326"/>
      <c r="M236" s="326"/>
      <c r="N236" s="326"/>
      <c r="O236" s="406"/>
      <c r="P236" s="406"/>
      <c r="Q236" s="406"/>
      <c r="R236" s="406"/>
      <c r="S236" s="406"/>
      <c r="T236" s="406"/>
      <c r="U236" s="406"/>
      <c r="W236" s="10"/>
      <c r="X236" s="10"/>
    </row>
    <row r="237" ht="15.75" customHeight="1" outlineLevel="1">
      <c r="A237" s="323"/>
      <c r="B237" s="324"/>
      <c r="C237" s="324"/>
      <c r="D237" s="325"/>
      <c r="E237" s="325"/>
      <c r="F237" s="325"/>
      <c r="G237" s="325"/>
      <c r="H237" s="325"/>
      <c r="I237" s="325"/>
      <c r="J237" s="326"/>
      <c r="K237" s="326"/>
      <c r="L237" s="326"/>
      <c r="M237" s="326"/>
      <c r="N237" s="326"/>
      <c r="O237" s="406"/>
      <c r="P237" s="406"/>
      <c r="Q237" s="406"/>
      <c r="R237" s="406"/>
      <c r="S237" s="406"/>
      <c r="T237" s="406"/>
      <c r="U237" s="406"/>
      <c r="W237" s="10"/>
      <c r="X237" s="10"/>
    </row>
    <row r="238" ht="15.75" customHeight="1">
      <c r="A238" s="409"/>
      <c r="B238" s="410" t="s">
        <v>170</v>
      </c>
      <c r="C238" s="14"/>
      <c r="D238" s="14"/>
      <c r="E238" s="14"/>
      <c r="F238" s="14"/>
      <c r="G238" s="14"/>
      <c r="H238" s="14"/>
      <c r="I238" s="14"/>
      <c r="J238" s="14"/>
      <c r="K238" s="14"/>
      <c r="L238" s="14"/>
      <c r="M238" s="14"/>
      <c r="N238" s="14"/>
      <c r="O238" s="14"/>
      <c r="P238" s="14"/>
      <c r="Q238" s="14"/>
      <c r="R238" s="14"/>
      <c r="S238" s="14"/>
      <c r="T238" s="14"/>
      <c r="U238" s="14"/>
      <c r="W238" s="10"/>
      <c r="X238" s="10"/>
    </row>
    <row r="239" ht="15.75" customHeight="1">
      <c r="A239" s="15"/>
      <c r="B239" s="15"/>
      <c r="C239" s="15"/>
      <c r="D239" s="37"/>
      <c r="E239" s="37"/>
      <c r="F239" s="37"/>
      <c r="G239" s="37"/>
      <c r="H239" s="37"/>
      <c r="I239" s="37"/>
      <c r="J239" s="37"/>
      <c r="K239" s="37"/>
      <c r="L239" s="37"/>
      <c r="M239" s="37"/>
      <c r="N239" s="37"/>
      <c r="O239" s="37"/>
      <c r="P239" s="37"/>
      <c r="Q239" s="37"/>
      <c r="R239" s="37"/>
      <c r="S239" s="37"/>
      <c r="T239" s="37"/>
      <c r="U239" s="37"/>
      <c r="W239" s="10"/>
      <c r="X239" s="10"/>
    </row>
    <row r="240" ht="15.75" customHeight="1">
      <c r="A240" s="44"/>
      <c r="B240" s="411"/>
      <c r="C240" s="412" t="s">
        <v>171</v>
      </c>
      <c r="D240" s="413"/>
      <c r="E240" s="413"/>
      <c r="F240" s="413"/>
      <c r="G240" s="413"/>
      <c r="H240" s="413"/>
      <c r="I240" s="413"/>
      <c r="J240" s="414" t="s">
        <v>172</v>
      </c>
      <c r="K240" s="415" t="s">
        <v>173</v>
      </c>
      <c r="L240" s="414" t="s">
        <v>174</v>
      </c>
      <c r="M240" s="44"/>
      <c r="N240" s="416" t="s">
        <v>175</v>
      </c>
      <c r="O240" s="417"/>
      <c r="P240" s="417"/>
      <c r="Q240" s="417"/>
      <c r="R240" s="417"/>
      <c r="S240" s="417"/>
      <c r="T240" s="417"/>
      <c r="U240" s="417"/>
      <c r="V240" s="319"/>
      <c r="W240" s="303"/>
      <c r="X240" s="303"/>
      <c r="Y240" s="319"/>
      <c r="Z240" s="319"/>
      <c r="AA240" s="319"/>
      <c r="AB240" s="319"/>
      <c r="AC240" s="319"/>
      <c r="AD240" s="319"/>
      <c r="AE240" s="319"/>
      <c r="AF240" s="319"/>
      <c r="AG240" s="319"/>
      <c r="AH240" s="319"/>
      <c r="AI240" s="319"/>
      <c r="AJ240" s="319"/>
      <c r="AK240" s="319"/>
      <c r="AL240" s="319"/>
      <c r="AM240" s="319"/>
      <c r="AN240" s="319"/>
      <c r="AO240" s="319"/>
      <c r="AP240" s="319"/>
      <c r="AQ240" s="319"/>
    </row>
    <row r="241" ht="15.75" customHeight="1">
      <c r="A241" s="44"/>
      <c r="B241" s="418"/>
      <c r="C241" s="44" t="s">
        <v>176</v>
      </c>
      <c r="D241" s="44"/>
      <c r="E241" s="44"/>
      <c r="F241" s="44"/>
      <c r="G241" s="44"/>
      <c r="H241" s="44"/>
      <c r="I241" s="44"/>
      <c r="J241" s="419">
        <f>J250/U75</f>
        <v>15.50636198</v>
      </c>
      <c r="K241" s="420"/>
      <c r="L241" s="419">
        <f>((J250+J247)*U69)/U45</f>
        <v>10.5516748</v>
      </c>
      <c r="M241" s="44"/>
      <c r="N241" s="44"/>
      <c r="O241" s="44"/>
      <c r="P241" s="44"/>
      <c r="Q241" s="44"/>
      <c r="R241" s="44"/>
      <c r="S241" s="44"/>
      <c r="T241" s="44"/>
      <c r="U241" s="44"/>
      <c r="V241" s="319"/>
      <c r="W241" s="303"/>
      <c r="X241" s="303"/>
      <c r="Y241" s="319"/>
      <c r="Z241" s="319"/>
      <c r="AA241" s="319"/>
      <c r="AB241" s="319"/>
      <c r="AC241" s="319"/>
      <c r="AD241" s="319"/>
      <c r="AE241" s="319"/>
      <c r="AF241" s="319"/>
      <c r="AG241" s="319"/>
      <c r="AH241" s="319"/>
      <c r="AI241" s="319"/>
      <c r="AJ241" s="319"/>
      <c r="AK241" s="319"/>
      <c r="AL241" s="319"/>
      <c r="AM241" s="319"/>
      <c r="AN241" s="319"/>
      <c r="AO241" s="319"/>
      <c r="AP241" s="319"/>
      <c r="AQ241" s="319"/>
    </row>
    <row r="242" ht="15.75" customHeight="1">
      <c r="A242" s="44"/>
      <c r="B242" s="418"/>
      <c r="C242" s="44" t="s">
        <v>177</v>
      </c>
      <c r="D242" s="44"/>
      <c r="E242" s="44"/>
      <c r="F242" s="44"/>
      <c r="G242" s="44"/>
      <c r="H242" s="44"/>
      <c r="I242" s="44"/>
      <c r="J242" s="418"/>
      <c r="K242" s="418"/>
      <c r="L242" s="418"/>
      <c r="M242" s="44"/>
      <c r="N242" s="44"/>
      <c r="O242" s="44"/>
      <c r="P242" s="44"/>
      <c r="Q242" s="44"/>
      <c r="R242" s="44"/>
      <c r="S242" s="44"/>
      <c r="T242" s="44"/>
      <c r="U242" s="44"/>
      <c r="V242" s="319"/>
      <c r="W242" s="303"/>
      <c r="X242" s="303"/>
      <c r="Y242" s="319"/>
      <c r="Z242" s="319"/>
      <c r="AA242" s="319"/>
      <c r="AB242" s="319"/>
      <c r="AC242" s="319"/>
      <c r="AD242" s="319"/>
      <c r="AE242" s="319"/>
      <c r="AF242" s="319"/>
      <c r="AG242" s="319"/>
      <c r="AH242" s="319"/>
      <c r="AI242" s="319"/>
      <c r="AJ242" s="319"/>
      <c r="AK242" s="319"/>
      <c r="AL242" s="319"/>
      <c r="AM242" s="319"/>
      <c r="AN242" s="319"/>
      <c r="AO242" s="319"/>
      <c r="AP242" s="319"/>
      <c r="AQ242" s="319"/>
    </row>
    <row r="243" ht="15.75" customHeight="1">
      <c r="A243" s="44"/>
      <c r="B243" s="418"/>
      <c r="C243" s="44" t="s">
        <v>178</v>
      </c>
      <c r="D243" s="44"/>
      <c r="E243" s="44"/>
      <c r="F243" s="44"/>
      <c r="G243" s="44"/>
      <c r="H243" s="44"/>
      <c r="I243" s="44"/>
      <c r="J243" s="418"/>
      <c r="K243" s="418"/>
      <c r="L243" s="418"/>
      <c r="M243" s="44"/>
      <c r="N243" s="44"/>
      <c r="O243" s="44"/>
      <c r="P243" s="44"/>
      <c r="Q243" s="44"/>
      <c r="R243" s="44"/>
      <c r="S243" s="44"/>
      <c r="T243" s="44"/>
      <c r="U243" s="44"/>
      <c r="V243" s="319"/>
      <c r="W243" s="303"/>
      <c r="X243" s="303"/>
      <c r="Y243" s="319"/>
      <c r="Z243" s="319"/>
      <c r="AA243" s="319"/>
      <c r="AB243" s="319"/>
      <c r="AC243" s="319"/>
      <c r="AD243" s="319"/>
      <c r="AE243" s="319"/>
      <c r="AF243" s="319"/>
      <c r="AG243" s="319"/>
      <c r="AH243" s="319"/>
      <c r="AI243" s="319"/>
      <c r="AJ243" s="319"/>
      <c r="AK243" s="319"/>
      <c r="AL243" s="319"/>
      <c r="AM243" s="319"/>
      <c r="AN243" s="319"/>
      <c r="AO243" s="319"/>
      <c r="AP243" s="319"/>
      <c r="AQ243" s="319"/>
    </row>
    <row r="244" ht="15.75" customHeight="1">
      <c r="A244" s="44"/>
      <c r="B244" s="418"/>
      <c r="C244" s="44" t="s">
        <v>179</v>
      </c>
      <c r="D244" s="44"/>
      <c r="E244" s="44"/>
      <c r="F244" s="44"/>
      <c r="G244" s="44"/>
      <c r="H244" s="44"/>
      <c r="I244" s="44"/>
      <c r="J244" s="421"/>
      <c r="K244" s="421"/>
      <c r="L244" s="421"/>
      <c r="M244" s="44"/>
      <c r="N244" s="44"/>
      <c r="O244" s="44"/>
      <c r="P244" s="44"/>
      <c r="Q244" s="44"/>
      <c r="R244" s="44"/>
      <c r="S244" s="44"/>
      <c r="T244" s="44"/>
      <c r="U244" s="44"/>
      <c r="V244" s="319"/>
      <c r="W244" s="303"/>
      <c r="X244" s="303"/>
      <c r="Y244" s="319"/>
      <c r="Z244" s="319"/>
      <c r="AA244" s="319"/>
      <c r="AB244" s="319"/>
      <c r="AC244" s="319"/>
      <c r="AD244" s="319"/>
      <c r="AE244" s="319"/>
      <c r="AF244" s="319"/>
      <c r="AG244" s="319"/>
      <c r="AH244" s="319"/>
      <c r="AI244" s="319"/>
      <c r="AJ244" s="319"/>
      <c r="AK244" s="319"/>
      <c r="AL244" s="319"/>
      <c r="AM244" s="319"/>
      <c r="AN244" s="319"/>
      <c r="AO244" s="319"/>
      <c r="AP244" s="319"/>
      <c r="AQ244" s="319"/>
    </row>
    <row r="245" ht="15.75" customHeight="1">
      <c r="A245" s="44"/>
      <c r="B245" s="418"/>
      <c r="C245" s="44" t="s">
        <v>180</v>
      </c>
      <c r="D245" s="44"/>
      <c r="E245" s="44"/>
      <c r="F245" s="44"/>
      <c r="G245" s="44"/>
      <c r="H245" s="44"/>
      <c r="I245" s="44"/>
      <c r="J245" s="418"/>
      <c r="K245" s="418"/>
      <c r="L245" s="418"/>
      <c r="M245" s="44"/>
      <c r="N245" s="44"/>
      <c r="O245" s="44"/>
      <c r="P245" s="44"/>
      <c r="Q245" s="44"/>
      <c r="R245" s="44"/>
      <c r="S245" s="44"/>
      <c r="T245" s="44"/>
      <c r="U245" s="44"/>
      <c r="V245" s="319"/>
      <c r="W245" s="303"/>
      <c r="X245" s="303"/>
      <c r="Y245" s="319"/>
      <c r="Z245" s="319"/>
      <c r="AA245" s="319"/>
      <c r="AB245" s="319"/>
      <c r="AC245" s="319"/>
      <c r="AD245" s="319"/>
      <c r="AE245" s="319"/>
      <c r="AF245" s="319"/>
      <c r="AG245" s="319"/>
      <c r="AH245" s="319"/>
      <c r="AI245" s="319"/>
      <c r="AJ245" s="319"/>
      <c r="AK245" s="319"/>
      <c r="AL245" s="319"/>
      <c r="AM245" s="319"/>
      <c r="AN245" s="319"/>
      <c r="AO245" s="319"/>
      <c r="AP245" s="319"/>
      <c r="AQ245" s="319"/>
    </row>
    <row r="246" ht="15.75" customHeight="1">
      <c r="A246" s="44"/>
      <c r="B246" s="418"/>
      <c r="C246" s="44"/>
      <c r="D246" s="44"/>
      <c r="E246" s="44"/>
      <c r="F246" s="44"/>
      <c r="G246" s="44"/>
      <c r="H246" s="44"/>
      <c r="I246" s="44"/>
      <c r="J246" s="422"/>
      <c r="K246" s="423"/>
      <c r="L246" s="418"/>
      <c r="M246" s="44"/>
      <c r="N246" s="44"/>
      <c r="O246" s="44"/>
      <c r="P246" s="44"/>
      <c r="Q246" s="44"/>
      <c r="R246" s="44"/>
      <c r="S246" s="44"/>
      <c r="T246" s="44"/>
      <c r="U246" s="44"/>
      <c r="V246" s="319"/>
      <c r="W246" s="303"/>
      <c r="X246" s="303"/>
      <c r="Y246" s="319"/>
      <c r="Z246" s="319"/>
      <c r="AA246" s="319"/>
      <c r="AB246" s="319"/>
      <c r="AC246" s="319"/>
      <c r="AD246" s="319"/>
      <c r="AE246" s="319"/>
      <c r="AF246" s="319"/>
      <c r="AG246" s="319"/>
      <c r="AH246" s="319"/>
      <c r="AI246" s="319"/>
      <c r="AJ246" s="319"/>
      <c r="AK246" s="319"/>
      <c r="AL246" s="319"/>
      <c r="AM246" s="319"/>
      <c r="AN246" s="319"/>
      <c r="AO246" s="319"/>
      <c r="AP246" s="319"/>
      <c r="AQ246" s="319"/>
    </row>
    <row r="247" ht="15.75" customHeight="1">
      <c r="A247" s="44"/>
      <c r="B247" s="418"/>
      <c r="C247" s="424" t="s">
        <v>181</v>
      </c>
      <c r="D247" s="44"/>
      <c r="E247" s="44"/>
      <c r="F247" s="44"/>
      <c r="G247" s="44"/>
      <c r="H247" s="44"/>
      <c r="I247" s="44"/>
      <c r="J247" s="425">
        <f>U122/U68</f>
        <v>-235.1596489</v>
      </c>
      <c r="K247" s="423"/>
      <c r="L247" s="418"/>
      <c r="M247" s="44"/>
      <c r="N247" s="44"/>
      <c r="O247" s="44"/>
      <c r="P247" s="44"/>
      <c r="Q247" s="44"/>
      <c r="R247" s="44"/>
      <c r="S247" s="44"/>
      <c r="T247" s="44"/>
      <c r="U247" s="44"/>
      <c r="V247" s="319"/>
      <c r="W247" s="303"/>
      <c r="X247" s="303"/>
      <c r="Y247" s="319"/>
      <c r="Z247" s="319"/>
      <c r="AA247" s="319"/>
      <c r="AB247" s="319"/>
      <c r="AC247" s="319"/>
      <c r="AD247" s="319"/>
      <c r="AE247" s="319"/>
      <c r="AF247" s="319"/>
      <c r="AG247" s="319"/>
      <c r="AH247" s="319"/>
      <c r="AI247" s="319"/>
      <c r="AJ247" s="319"/>
      <c r="AK247" s="319"/>
      <c r="AL247" s="319"/>
      <c r="AM247" s="319"/>
      <c r="AN247" s="319"/>
      <c r="AO247" s="319"/>
      <c r="AP247" s="319"/>
      <c r="AQ247" s="319"/>
    </row>
    <row r="248" ht="15.75" customHeight="1">
      <c r="A248" s="44"/>
      <c r="B248" s="418"/>
      <c r="C248" s="44" t="s">
        <v>182</v>
      </c>
      <c r="D248" s="44"/>
      <c r="E248" s="44"/>
      <c r="F248" s="44"/>
      <c r="G248" s="44"/>
      <c r="H248" s="44"/>
      <c r="I248" s="44"/>
      <c r="J248" s="425">
        <f>122.96/J280</f>
        <v>878.2857143</v>
      </c>
      <c r="K248" s="426">
        <f>J248*J280</f>
        <v>122.96</v>
      </c>
      <c r="L248" s="418"/>
      <c r="M248" s="44"/>
      <c r="N248" s="44"/>
      <c r="O248" s="44"/>
      <c r="P248" s="44"/>
      <c r="Q248" s="44"/>
      <c r="R248" s="44"/>
      <c r="S248" s="44"/>
      <c r="T248" s="44"/>
      <c r="U248" s="44"/>
      <c r="V248" s="319"/>
      <c r="W248" s="303"/>
      <c r="X248" s="303"/>
      <c r="Y248" s="319"/>
      <c r="Z248" s="319"/>
      <c r="AA248" s="319"/>
      <c r="AB248" s="319"/>
      <c r="AC248" s="319"/>
      <c r="AD248" s="319"/>
      <c r="AE248" s="319"/>
      <c r="AF248" s="319"/>
      <c r="AG248" s="319"/>
      <c r="AH248" s="319"/>
      <c r="AI248" s="319"/>
      <c r="AJ248" s="319"/>
      <c r="AK248" s="319"/>
      <c r="AL248" s="319"/>
      <c r="AM248" s="319"/>
      <c r="AN248" s="319"/>
      <c r="AO248" s="319"/>
      <c r="AP248" s="319"/>
      <c r="AQ248" s="319"/>
    </row>
    <row r="249" ht="15.75" customHeight="1">
      <c r="A249" s="44"/>
      <c r="B249" s="44"/>
      <c r="C249" s="427"/>
      <c r="D249" s="427"/>
      <c r="E249" s="427"/>
      <c r="F249" s="427"/>
      <c r="G249" s="427"/>
      <c r="H249" s="427"/>
      <c r="I249" s="427"/>
      <c r="J249" s="428"/>
      <c r="K249" s="429"/>
      <c r="L249" s="430"/>
      <c r="M249" s="44"/>
      <c r="N249" s="44"/>
      <c r="O249" s="44"/>
      <c r="P249" s="44"/>
      <c r="Q249" s="44"/>
      <c r="R249" s="44"/>
      <c r="S249" s="44"/>
      <c r="T249" s="44"/>
      <c r="U249" s="44"/>
      <c r="V249" s="319"/>
      <c r="W249" s="303"/>
      <c r="X249" s="303"/>
      <c r="Y249" s="319"/>
      <c r="Z249" s="319"/>
      <c r="AA249" s="319"/>
      <c r="AB249" s="319"/>
      <c r="AC249" s="319"/>
      <c r="AD249" s="319"/>
      <c r="AE249" s="319"/>
      <c r="AF249" s="319"/>
      <c r="AG249" s="319"/>
      <c r="AH249" s="319"/>
      <c r="AI249" s="319"/>
      <c r="AJ249" s="319"/>
      <c r="AK249" s="319"/>
      <c r="AL249" s="319"/>
      <c r="AM249" s="319"/>
      <c r="AN249" s="319"/>
      <c r="AO249" s="319"/>
      <c r="AP249" s="319"/>
      <c r="AQ249" s="319"/>
    </row>
    <row r="250" ht="15.75" customHeight="1">
      <c r="A250" s="44"/>
      <c r="B250" s="418"/>
      <c r="C250" s="431" t="s">
        <v>183</v>
      </c>
      <c r="D250" s="432"/>
      <c r="E250" s="432"/>
      <c r="F250" s="432"/>
      <c r="G250" s="432"/>
      <c r="H250" s="432"/>
      <c r="I250" s="432"/>
      <c r="J250" s="433">
        <f>AM291</f>
        <v>1454.174897</v>
      </c>
      <c r="K250" s="434">
        <f>J250*J280</f>
        <v>203.5844856</v>
      </c>
      <c r="L250" s="44"/>
      <c r="M250" s="44"/>
      <c r="N250" s="44"/>
      <c r="O250" s="44"/>
      <c r="P250" s="44"/>
      <c r="Q250" s="44"/>
      <c r="R250" s="44"/>
      <c r="S250" s="44"/>
      <c r="T250" s="44"/>
      <c r="U250" s="44"/>
      <c r="V250" s="319"/>
      <c r="W250" s="303"/>
      <c r="X250" s="303"/>
      <c r="Y250" s="319"/>
      <c r="Z250" s="319"/>
      <c r="AA250" s="319"/>
      <c r="AB250" s="319"/>
      <c r="AC250" s="319"/>
      <c r="AD250" s="319"/>
      <c r="AE250" s="319"/>
      <c r="AF250" s="319"/>
      <c r="AG250" s="319"/>
      <c r="AH250" s="319"/>
      <c r="AI250" s="319"/>
      <c r="AJ250" s="319"/>
      <c r="AK250" s="319"/>
      <c r="AL250" s="319"/>
      <c r="AM250" s="319"/>
      <c r="AN250" s="319"/>
      <c r="AO250" s="319"/>
      <c r="AP250" s="319"/>
      <c r="AQ250" s="319"/>
    </row>
    <row r="251" ht="15.75" customHeight="1">
      <c r="A251" s="44"/>
      <c r="B251" s="435"/>
      <c r="C251" s="431" t="s">
        <v>184</v>
      </c>
      <c r="D251" s="432"/>
      <c r="E251" s="432"/>
      <c r="F251" s="432"/>
      <c r="G251" s="432"/>
      <c r="H251" s="432"/>
      <c r="I251" s="432"/>
      <c r="J251" s="436">
        <f>J256/5</f>
        <v>0.02065944243</v>
      </c>
      <c r="K251" s="44"/>
      <c r="L251" s="44"/>
      <c r="M251" s="44"/>
      <c r="N251" s="44"/>
      <c r="O251" s="44"/>
      <c r="P251" s="44"/>
      <c r="Q251" s="44"/>
      <c r="R251" s="44"/>
      <c r="S251" s="44"/>
      <c r="T251" s="44"/>
      <c r="U251" s="44"/>
      <c r="V251" s="319"/>
      <c r="W251" s="303"/>
      <c r="X251" s="303"/>
      <c r="Y251" s="319"/>
      <c r="Z251" s="319"/>
      <c r="AA251" s="319"/>
      <c r="AB251" s="319"/>
      <c r="AC251" s="319"/>
      <c r="AD251" s="319"/>
      <c r="AE251" s="319"/>
      <c r="AF251" s="319"/>
      <c r="AG251" s="319"/>
      <c r="AH251" s="319"/>
      <c r="AI251" s="319"/>
      <c r="AJ251" s="319"/>
      <c r="AK251" s="319"/>
      <c r="AL251" s="319"/>
      <c r="AM251" s="319"/>
      <c r="AN251" s="319"/>
      <c r="AO251" s="319"/>
      <c r="AP251" s="319"/>
      <c r="AQ251" s="319"/>
    </row>
    <row r="252" ht="15.75" customHeight="1">
      <c r="A252" s="44"/>
      <c r="B252" s="418"/>
      <c r="C252" s="437" t="s">
        <v>185</v>
      </c>
      <c r="D252" s="438"/>
      <c r="E252" s="438"/>
      <c r="F252" s="438"/>
      <c r="G252" s="438"/>
      <c r="H252" s="438"/>
      <c r="I252" s="438"/>
      <c r="J252" s="439">
        <f>(J250/J248)-100%+J256</f>
        <v>0.7589940698</v>
      </c>
      <c r="K252" s="44"/>
      <c r="L252" s="44"/>
      <c r="M252" s="44"/>
      <c r="N252" s="44"/>
      <c r="O252" s="44"/>
      <c r="P252" s="44"/>
      <c r="Q252" s="44"/>
      <c r="R252" s="44"/>
      <c r="S252" s="44"/>
      <c r="T252" s="44"/>
      <c r="U252" s="44"/>
      <c r="V252" s="319"/>
      <c r="W252" s="303"/>
      <c r="X252" s="303"/>
      <c r="Y252" s="319"/>
      <c r="Z252" s="319"/>
      <c r="AA252" s="319"/>
      <c r="AB252" s="319"/>
      <c r="AC252" s="319"/>
      <c r="AD252" s="319"/>
      <c r="AE252" s="319"/>
      <c r="AF252" s="319"/>
      <c r="AG252" s="319"/>
      <c r="AH252" s="319"/>
      <c r="AI252" s="319"/>
      <c r="AJ252" s="319"/>
      <c r="AK252" s="319"/>
      <c r="AL252" s="319"/>
      <c r="AM252" s="319"/>
      <c r="AN252" s="319"/>
      <c r="AO252" s="319"/>
      <c r="AP252" s="319"/>
      <c r="AQ252" s="319"/>
    </row>
    <row r="253" ht="15.75" customHeight="1">
      <c r="A253" s="44"/>
      <c r="B253" s="418"/>
      <c r="C253" s="440" t="s">
        <v>186</v>
      </c>
      <c r="D253" s="441"/>
      <c r="E253" s="441"/>
      <c r="F253" s="441"/>
      <c r="G253" s="441"/>
      <c r="H253" s="441"/>
      <c r="I253" s="441"/>
      <c r="J253" s="442">
        <f>RRI(J268,J248,J250)+J251</f>
        <v>0.1314214202</v>
      </c>
      <c r="K253" s="44"/>
      <c r="L253" s="44"/>
      <c r="M253" s="44"/>
      <c r="N253" s="44"/>
      <c r="O253" s="44"/>
      <c r="P253" s="44"/>
      <c r="Q253" s="44"/>
      <c r="R253" s="44"/>
      <c r="S253" s="44"/>
      <c r="T253" s="44"/>
      <c r="U253" s="44"/>
      <c r="V253" s="319"/>
      <c r="W253" s="303"/>
      <c r="X253" s="303"/>
      <c r="Y253" s="319"/>
      <c r="Z253" s="319"/>
      <c r="AA253" s="319"/>
      <c r="AB253" s="319"/>
      <c r="AC253" s="319"/>
      <c r="AD253" s="319"/>
      <c r="AE253" s="319"/>
      <c r="AF253" s="319"/>
      <c r="AG253" s="319"/>
      <c r="AH253" s="319"/>
      <c r="AI253" s="319"/>
      <c r="AJ253" s="319"/>
      <c r="AK253" s="319"/>
      <c r="AL253" s="319"/>
      <c r="AM253" s="319"/>
      <c r="AN253" s="319"/>
      <c r="AO253" s="319"/>
      <c r="AP253" s="319"/>
      <c r="AQ253" s="319"/>
    </row>
    <row r="254" ht="15.75" customHeight="1">
      <c r="A254" s="44"/>
      <c r="B254" s="44"/>
      <c r="C254" s="44"/>
      <c r="D254" s="44"/>
      <c r="E254" s="44"/>
      <c r="F254" s="44"/>
      <c r="G254" s="44"/>
      <c r="H254" s="44"/>
      <c r="I254" s="44"/>
      <c r="J254" s="303"/>
      <c r="K254" s="44"/>
      <c r="L254" s="44"/>
      <c r="M254" s="44"/>
      <c r="N254" s="44"/>
      <c r="O254" s="44"/>
      <c r="P254" s="44"/>
      <c r="Q254" s="44"/>
      <c r="R254" s="44"/>
      <c r="S254" s="44"/>
      <c r="T254" s="44"/>
      <c r="U254" s="44"/>
      <c r="V254" s="319"/>
      <c r="W254" s="303"/>
      <c r="X254" s="303"/>
      <c r="Y254" s="319"/>
      <c r="Z254" s="319"/>
      <c r="AA254" s="319"/>
      <c r="AB254" s="319"/>
      <c r="AC254" s="319"/>
      <c r="AD254" s="319"/>
      <c r="AE254" s="319"/>
      <c r="AF254" s="319"/>
      <c r="AG254" s="319"/>
      <c r="AH254" s="319"/>
      <c r="AI254" s="319"/>
      <c r="AJ254" s="319"/>
      <c r="AK254" s="319"/>
      <c r="AL254" s="319"/>
      <c r="AM254" s="319"/>
      <c r="AN254" s="319"/>
      <c r="AO254" s="319"/>
      <c r="AP254" s="319"/>
      <c r="AQ254" s="319"/>
    </row>
    <row r="255" ht="15.75" customHeight="1">
      <c r="A255" s="44"/>
      <c r="B255" s="44"/>
      <c r="C255" s="443"/>
      <c r="D255" s="443"/>
      <c r="E255" s="443"/>
      <c r="F255" s="443"/>
      <c r="G255" s="443"/>
      <c r="H255" s="443"/>
      <c r="I255" s="443"/>
      <c r="J255" s="444"/>
      <c r="K255" s="44"/>
      <c r="L255" s="44"/>
      <c r="M255" s="44"/>
      <c r="N255" s="44"/>
      <c r="O255" s="44"/>
      <c r="P255" s="44"/>
      <c r="Q255" s="44"/>
      <c r="R255" s="44"/>
      <c r="S255" s="44"/>
      <c r="T255" s="44"/>
      <c r="U255" s="44"/>
      <c r="V255" s="319"/>
      <c r="W255" s="303"/>
      <c r="X255" s="303"/>
      <c r="Y255" s="319"/>
      <c r="Z255" s="319"/>
      <c r="AA255" s="319"/>
      <c r="AB255" s="319"/>
      <c r="AC255" s="319"/>
      <c r="AD255" s="319"/>
      <c r="AE255" s="319"/>
      <c r="AF255" s="319"/>
      <c r="AG255" s="319"/>
      <c r="AH255" s="319"/>
      <c r="AI255" s="319"/>
      <c r="AJ255" s="319"/>
      <c r="AK255" s="319"/>
      <c r="AL255" s="319"/>
      <c r="AM255" s="319"/>
      <c r="AN255" s="319"/>
      <c r="AO255" s="319"/>
      <c r="AP255" s="319"/>
      <c r="AQ255" s="319"/>
    </row>
    <row r="256" ht="15.75" customHeight="1">
      <c r="A256" s="44"/>
      <c r="B256" s="435"/>
      <c r="C256" s="52" t="s">
        <v>187</v>
      </c>
      <c r="D256" s="44"/>
      <c r="E256" s="44"/>
      <c r="F256" s="44"/>
      <c r="G256" s="44"/>
      <c r="H256" s="44"/>
      <c r="I256" s="44"/>
      <c r="J256" s="445">
        <f>P318+Q318+R318+S318+T318</f>
        <v>0.1032972122</v>
      </c>
      <c r="K256" s="44"/>
      <c r="L256" s="44"/>
      <c r="M256" s="44"/>
      <c r="N256" s="44"/>
      <c r="O256" s="44"/>
      <c r="P256" s="44"/>
      <c r="Q256" s="44"/>
      <c r="R256" s="44"/>
      <c r="S256" s="44"/>
      <c r="T256" s="44"/>
      <c r="U256" s="44"/>
      <c r="V256" s="319"/>
      <c r="W256" s="303"/>
      <c r="X256" s="303"/>
      <c r="Y256" s="319"/>
      <c r="Z256" s="319"/>
      <c r="AA256" s="319"/>
      <c r="AB256" s="319"/>
      <c r="AC256" s="319"/>
      <c r="AD256" s="319"/>
      <c r="AE256" s="319"/>
      <c r="AF256" s="319"/>
      <c r="AG256" s="319"/>
      <c r="AH256" s="319"/>
      <c r="AI256" s="319"/>
      <c r="AJ256" s="319"/>
      <c r="AK256" s="319"/>
      <c r="AL256" s="319"/>
      <c r="AM256" s="319"/>
      <c r="AN256" s="319"/>
      <c r="AO256" s="319"/>
      <c r="AP256" s="319"/>
      <c r="AQ256" s="319"/>
    </row>
    <row r="257" ht="15.75" customHeight="1">
      <c r="A257" s="44"/>
      <c r="B257" s="435"/>
      <c r="C257" s="446" t="s">
        <v>184</v>
      </c>
      <c r="D257" s="443"/>
      <c r="E257" s="443"/>
      <c r="F257" s="443"/>
      <c r="G257" s="443"/>
      <c r="H257" s="443"/>
      <c r="I257" s="443"/>
      <c r="J257" s="447">
        <f>J256/5</f>
        <v>0.02065944243</v>
      </c>
      <c r="K257" s="448"/>
      <c r="L257" s="44"/>
      <c r="M257" s="44"/>
      <c r="N257" s="44"/>
      <c r="O257" s="44"/>
      <c r="P257" s="44"/>
      <c r="Q257" s="44"/>
      <c r="R257" s="44"/>
      <c r="S257" s="44"/>
      <c r="T257" s="44"/>
      <c r="U257" s="44"/>
      <c r="V257" s="319"/>
      <c r="W257" s="303"/>
      <c r="X257" s="303"/>
      <c r="Y257" s="319"/>
      <c r="Z257" s="319"/>
      <c r="AA257" s="319"/>
      <c r="AB257" s="319"/>
      <c r="AC257" s="319"/>
      <c r="AD257" s="319"/>
      <c r="AE257" s="319"/>
      <c r="AF257" s="319"/>
      <c r="AG257" s="319"/>
      <c r="AH257" s="319"/>
      <c r="AI257" s="319"/>
      <c r="AJ257" s="319"/>
      <c r="AK257" s="319"/>
      <c r="AL257" s="319"/>
      <c r="AM257" s="319"/>
      <c r="AN257" s="319"/>
      <c r="AO257" s="319"/>
      <c r="AP257" s="319"/>
      <c r="AQ257" s="319"/>
    </row>
    <row r="258" ht="15.75" customHeight="1">
      <c r="A258" s="44"/>
      <c r="B258" s="44"/>
      <c r="C258" s="449"/>
      <c r="D258" s="449"/>
      <c r="E258" s="449"/>
      <c r="F258" s="449"/>
      <c r="G258" s="449"/>
      <c r="H258" s="449"/>
      <c r="I258" s="449"/>
      <c r="J258" s="44"/>
      <c r="K258" s="44"/>
      <c r="L258" s="44"/>
      <c r="M258" s="44"/>
      <c r="N258" s="44"/>
      <c r="O258" s="44"/>
      <c r="P258" s="44"/>
      <c r="Q258" s="44"/>
      <c r="R258" s="44"/>
      <c r="S258" s="44"/>
      <c r="T258" s="44"/>
      <c r="U258" s="44"/>
      <c r="V258" s="319"/>
      <c r="W258" s="303"/>
      <c r="X258" s="303"/>
      <c r="Y258" s="319"/>
      <c r="Z258" s="319"/>
      <c r="AA258" s="319"/>
      <c r="AB258" s="319"/>
      <c r="AC258" s="319"/>
      <c r="AD258" s="319"/>
      <c r="AE258" s="319"/>
      <c r="AF258" s="319"/>
      <c r="AG258" s="319"/>
      <c r="AH258" s="319"/>
      <c r="AI258" s="319"/>
      <c r="AJ258" s="319"/>
      <c r="AK258" s="319"/>
      <c r="AL258" s="319"/>
      <c r="AM258" s="319"/>
      <c r="AN258" s="319"/>
      <c r="AO258" s="319"/>
      <c r="AP258" s="319"/>
      <c r="AQ258" s="319"/>
    </row>
    <row r="259" ht="15.75" customHeight="1">
      <c r="A259" s="44"/>
      <c r="B259" s="418"/>
      <c r="C259" s="450" t="s">
        <v>188</v>
      </c>
      <c r="D259" s="451"/>
      <c r="E259" s="451"/>
      <c r="F259" s="451"/>
      <c r="G259" s="451"/>
      <c r="H259" s="451"/>
      <c r="I259" s="451"/>
      <c r="J259" s="452">
        <v>100.0</v>
      </c>
      <c r="K259" s="452">
        <v>120.0</v>
      </c>
      <c r="L259" s="452">
        <v>140.0</v>
      </c>
      <c r="M259" s="452">
        <v>160.0</v>
      </c>
      <c r="N259" s="453">
        <v>180.0</v>
      </c>
      <c r="O259" s="454"/>
      <c r="P259" s="44"/>
      <c r="Q259" s="44"/>
      <c r="R259" s="44"/>
      <c r="S259" s="44"/>
      <c r="T259" s="44"/>
      <c r="U259" s="44"/>
      <c r="V259" s="319"/>
      <c r="W259" s="303"/>
      <c r="X259" s="303"/>
      <c r="Y259" s="319"/>
      <c r="Z259" s="319"/>
      <c r="AA259" s="319"/>
      <c r="AB259" s="319"/>
      <c r="AC259" s="319"/>
      <c r="AD259" s="319"/>
      <c r="AE259" s="319"/>
      <c r="AF259" s="319"/>
      <c r="AG259" s="319"/>
      <c r="AH259" s="319"/>
      <c r="AI259" s="319"/>
      <c r="AJ259" s="319"/>
      <c r="AK259" s="319"/>
      <c r="AL259" s="319"/>
      <c r="AM259" s="319"/>
      <c r="AN259" s="319"/>
      <c r="AO259" s="319"/>
      <c r="AP259" s="319"/>
      <c r="AQ259" s="319"/>
    </row>
    <row r="260" ht="15.75" customHeight="1">
      <c r="A260" s="44"/>
      <c r="B260" s="44"/>
      <c r="C260" s="44"/>
      <c r="D260" s="44"/>
      <c r="E260" s="44"/>
      <c r="F260" s="44"/>
      <c r="G260" s="44"/>
      <c r="H260" s="44"/>
      <c r="I260" s="44"/>
      <c r="J260" s="44"/>
      <c r="K260" s="44"/>
      <c r="L260" s="44"/>
      <c r="M260" s="44"/>
      <c r="N260" s="44"/>
      <c r="O260" s="44"/>
      <c r="P260" s="44"/>
      <c r="Q260" s="44"/>
      <c r="R260" s="44"/>
      <c r="S260" s="44"/>
      <c r="T260" s="44"/>
      <c r="U260" s="44"/>
      <c r="V260" s="319"/>
      <c r="W260" s="303"/>
      <c r="X260" s="303"/>
      <c r="Y260" s="319"/>
      <c r="Z260" s="319"/>
      <c r="AA260" s="319"/>
      <c r="AB260" s="319"/>
      <c r="AC260" s="319"/>
      <c r="AD260" s="319"/>
      <c r="AE260" s="319"/>
      <c r="AF260" s="319"/>
      <c r="AG260" s="319"/>
      <c r="AH260" s="319"/>
      <c r="AI260" s="319"/>
      <c r="AJ260" s="319"/>
      <c r="AK260" s="319"/>
      <c r="AL260" s="319"/>
      <c r="AM260" s="319"/>
      <c r="AN260" s="319"/>
      <c r="AO260" s="319"/>
      <c r="AP260" s="319"/>
      <c r="AQ260" s="319"/>
    </row>
    <row r="261" ht="15.75" customHeight="1">
      <c r="A261" s="44"/>
      <c r="B261" s="44"/>
      <c r="C261" s="44"/>
      <c r="D261" s="44"/>
      <c r="E261" s="44"/>
      <c r="F261" s="44"/>
      <c r="G261" s="44"/>
      <c r="H261" s="44"/>
      <c r="I261" s="44"/>
      <c r="J261" s="44"/>
      <c r="K261" s="44"/>
      <c r="L261" s="44"/>
      <c r="M261" s="44"/>
      <c r="N261" s="44"/>
      <c r="O261" s="44"/>
      <c r="P261" s="44"/>
      <c r="Q261" s="44"/>
      <c r="R261" s="44"/>
      <c r="S261" s="44"/>
      <c r="T261" s="44"/>
      <c r="U261" s="44"/>
      <c r="V261" s="319"/>
      <c r="W261" s="303"/>
      <c r="X261" s="303"/>
      <c r="Y261" s="319"/>
      <c r="Z261" s="319"/>
      <c r="AA261" s="319"/>
      <c r="AB261" s="319"/>
      <c r="AC261" s="319"/>
      <c r="AD261" s="319"/>
      <c r="AE261" s="319"/>
      <c r="AF261" s="319"/>
      <c r="AG261" s="319"/>
      <c r="AH261" s="319"/>
      <c r="AI261" s="319"/>
      <c r="AJ261" s="319"/>
      <c r="AK261" s="319"/>
      <c r="AL261" s="319"/>
      <c r="AM261" s="319"/>
      <c r="AN261" s="319"/>
      <c r="AO261" s="319"/>
      <c r="AP261" s="319"/>
      <c r="AQ261" s="319"/>
    </row>
    <row r="262" ht="15.75" customHeight="1">
      <c r="A262" s="44"/>
      <c r="B262" s="44"/>
      <c r="C262" s="455" t="s">
        <v>189</v>
      </c>
      <c r="D262" s="430"/>
      <c r="E262" s="430"/>
      <c r="F262" s="430"/>
      <c r="G262" s="430"/>
      <c r="H262" s="430"/>
      <c r="I262" s="430"/>
      <c r="J262" s="456">
        <v>810.0</v>
      </c>
      <c r="K262" s="434">
        <f>J262*J280</f>
        <v>113.4</v>
      </c>
      <c r="L262" s="44"/>
      <c r="M262" s="44"/>
      <c r="N262" s="44"/>
      <c r="O262" s="44"/>
      <c r="P262" s="44"/>
      <c r="Q262" s="44"/>
      <c r="R262" s="44"/>
      <c r="S262" s="44"/>
      <c r="T262" s="44"/>
      <c r="U262" s="44"/>
      <c r="V262" s="319"/>
      <c r="W262" s="303"/>
      <c r="X262" s="303"/>
      <c r="Y262" s="319"/>
      <c r="Z262" s="319"/>
      <c r="AA262" s="319"/>
      <c r="AB262" s="319"/>
      <c r="AC262" s="319"/>
      <c r="AD262" s="319"/>
      <c r="AE262" s="319"/>
      <c r="AF262" s="319"/>
      <c r="AG262" s="319"/>
      <c r="AH262" s="319"/>
      <c r="AI262" s="319"/>
      <c r="AJ262" s="319"/>
      <c r="AK262" s="319"/>
      <c r="AL262" s="319"/>
      <c r="AM262" s="319"/>
      <c r="AN262" s="319"/>
      <c r="AO262" s="319"/>
      <c r="AP262" s="319"/>
      <c r="AQ262" s="319"/>
    </row>
    <row r="263" ht="15.75" customHeight="1">
      <c r="A263" s="44"/>
      <c r="B263" s="44"/>
      <c r="C263" s="457" t="s">
        <v>190</v>
      </c>
      <c r="D263" s="44"/>
      <c r="E263" s="44"/>
      <c r="F263" s="44"/>
      <c r="G263" s="44"/>
      <c r="H263" s="44"/>
      <c r="I263" s="44"/>
      <c r="J263" s="458">
        <f>J262/J248-1</f>
        <v>-0.07774886142</v>
      </c>
      <c r="K263" s="44"/>
      <c r="L263" s="44"/>
      <c r="M263" s="44"/>
      <c r="N263" s="44"/>
      <c r="O263" s="44"/>
      <c r="P263" s="44"/>
      <c r="Q263" s="44"/>
      <c r="R263" s="44"/>
      <c r="S263" s="44"/>
      <c r="T263" s="44"/>
      <c r="U263" s="44"/>
      <c r="V263" s="319"/>
      <c r="W263" s="303"/>
      <c r="X263" s="303"/>
      <c r="Y263" s="319"/>
      <c r="Z263" s="319"/>
      <c r="AA263" s="319"/>
      <c r="AB263" s="319"/>
      <c r="AC263" s="319"/>
      <c r="AD263" s="319"/>
      <c r="AE263" s="319"/>
      <c r="AF263" s="319"/>
      <c r="AG263" s="319"/>
      <c r="AH263" s="319"/>
      <c r="AI263" s="319"/>
      <c r="AJ263" s="319"/>
      <c r="AK263" s="319"/>
      <c r="AL263" s="319"/>
      <c r="AM263" s="319"/>
      <c r="AN263" s="319"/>
      <c r="AO263" s="319"/>
      <c r="AP263" s="319"/>
      <c r="AQ263" s="319"/>
    </row>
    <row r="264" ht="15.75" customHeight="1">
      <c r="A264" s="44"/>
      <c r="B264" s="44"/>
      <c r="C264" s="459" t="s">
        <v>191</v>
      </c>
      <c r="D264" s="449"/>
      <c r="E264" s="449"/>
      <c r="F264" s="449"/>
      <c r="G264" s="449"/>
      <c r="H264" s="449"/>
      <c r="I264" s="449"/>
      <c r="J264" s="460" t="s">
        <v>192</v>
      </c>
      <c r="K264" s="44"/>
      <c r="L264" s="44"/>
      <c r="M264" s="44"/>
      <c r="N264" s="44"/>
      <c r="O264" s="44"/>
      <c r="P264" s="44"/>
      <c r="Q264" s="44"/>
      <c r="R264" s="44"/>
      <c r="S264" s="44"/>
      <c r="T264" s="44"/>
      <c r="U264" s="44"/>
      <c r="V264" s="319"/>
      <c r="W264" s="303"/>
      <c r="X264" s="303"/>
      <c r="Y264" s="319"/>
      <c r="Z264" s="319"/>
      <c r="AA264" s="319"/>
      <c r="AB264" s="319"/>
      <c r="AC264" s="319"/>
      <c r="AD264" s="319"/>
      <c r="AE264" s="319"/>
      <c r="AF264" s="319"/>
      <c r="AG264" s="319"/>
      <c r="AH264" s="319"/>
      <c r="AI264" s="319"/>
      <c r="AJ264" s="319"/>
      <c r="AK264" s="319"/>
      <c r="AL264" s="319"/>
      <c r="AM264" s="319"/>
      <c r="AN264" s="319"/>
      <c r="AO264" s="319"/>
      <c r="AP264" s="319"/>
      <c r="AQ264" s="319"/>
    </row>
    <row r="265" ht="15.75" customHeight="1">
      <c r="A265" s="44"/>
      <c r="B265" s="44"/>
      <c r="C265" s="44"/>
      <c r="D265" s="44"/>
      <c r="E265" s="44"/>
      <c r="F265" s="44"/>
      <c r="G265" s="44"/>
      <c r="H265" s="44"/>
      <c r="I265" s="44"/>
      <c r="J265" s="461"/>
      <c r="K265" s="448"/>
      <c r="L265" s="44"/>
      <c r="M265" s="44"/>
      <c r="N265" s="44"/>
      <c r="O265" s="44"/>
      <c r="P265" s="44"/>
      <c r="Q265" s="44"/>
      <c r="R265" s="284"/>
      <c r="S265" s="284"/>
      <c r="T265" s="284"/>
      <c r="U265" s="462"/>
      <c r="V265" s="319"/>
      <c r="W265" s="303"/>
      <c r="X265" s="303"/>
      <c r="Y265" s="319"/>
      <c r="Z265" s="319"/>
      <c r="AA265" s="319"/>
      <c r="AB265" s="319"/>
      <c r="AC265" s="319"/>
      <c r="AD265" s="319"/>
      <c r="AE265" s="319"/>
      <c r="AF265" s="319"/>
      <c r="AG265" s="319"/>
      <c r="AH265" s="319"/>
      <c r="AI265" s="319"/>
      <c r="AJ265" s="319"/>
      <c r="AK265" s="319"/>
      <c r="AL265" s="319"/>
      <c r="AM265" s="319"/>
      <c r="AN265" s="319"/>
      <c r="AO265" s="319"/>
      <c r="AP265" s="319"/>
      <c r="AQ265" s="319"/>
    </row>
    <row r="266" ht="15.75" customHeight="1">
      <c r="A266" s="463"/>
      <c r="B266" s="44"/>
      <c r="C266" s="44"/>
      <c r="D266" s="44"/>
      <c r="E266" s="44"/>
      <c r="F266" s="44"/>
      <c r="G266" s="44"/>
      <c r="H266" s="44"/>
      <c r="I266" s="44"/>
      <c r="J266" s="303"/>
      <c r="K266" s="44"/>
      <c r="L266" s="44"/>
      <c r="M266" s="44"/>
      <c r="N266" s="443"/>
      <c r="O266" s="443"/>
      <c r="P266" s="443"/>
      <c r="Q266" s="44"/>
      <c r="R266" s="443"/>
      <c r="S266" s="443"/>
      <c r="T266" s="44"/>
      <c r="U266" s="44"/>
      <c r="V266" s="319"/>
      <c r="W266" s="303"/>
      <c r="X266" s="444"/>
      <c r="Y266" s="464"/>
      <c r="Z266" s="464"/>
      <c r="AA266" s="464"/>
      <c r="AB266" s="464"/>
      <c r="AC266" s="464"/>
      <c r="AD266" s="319"/>
      <c r="AE266" s="319"/>
      <c r="AF266" s="319"/>
      <c r="AG266" s="319"/>
      <c r="AH266" s="319"/>
      <c r="AI266" s="319"/>
      <c r="AJ266" s="319"/>
      <c r="AK266" s="319"/>
      <c r="AL266" s="319"/>
      <c r="AM266" s="319"/>
      <c r="AN266" s="319"/>
      <c r="AO266" s="319"/>
      <c r="AP266" s="319"/>
      <c r="AQ266" s="319"/>
    </row>
    <row r="267" ht="15.75" customHeight="1">
      <c r="A267" s="44"/>
      <c r="B267" s="44"/>
      <c r="C267" s="44"/>
      <c r="D267" s="44"/>
      <c r="E267" s="44"/>
      <c r="F267" s="44"/>
      <c r="G267" s="44"/>
      <c r="H267" s="44"/>
      <c r="I267" s="44"/>
      <c r="J267" s="284"/>
      <c r="K267" s="44"/>
      <c r="L267" s="44"/>
      <c r="M267" s="435"/>
      <c r="N267" s="44" t="s">
        <v>193</v>
      </c>
      <c r="O267" s="44"/>
      <c r="P267" s="44"/>
      <c r="Q267" s="465"/>
      <c r="R267" s="466"/>
      <c r="S267" s="467">
        <f>U132</f>
        <v>580.7646091</v>
      </c>
      <c r="T267" s="468"/>
      <c r="U267" s="44"/>
      <c r="V267" s="319"/>
      <c r="W267" s="469"/>
      <c r="X267" s="303" t="s">
        <v>194</v>
      </c>
      <c r="Y267" s="319"/>
      <c r="Z267" s="319"/>
      <c r="AA267" s="319"/>
      <c r="AB267" s="319"/>
      <c r="AC267" s="467">
        <f>U129</f>
        <v>354.5189803</v>
      </c>
      <c r="AD267" s="319"/>
      <c r="AE267" s="319"/>
      <c r="AF267" s="319"/>
      <c r="AG267" s="319"/>
      <c r="AH267" s="319"/>
      <c r="AI267" s="319"/>
      <c r="AJ267" s="319"/>
      <c r="AK267" s="319"/>
      <c r="AL267" s="319"/>
      <c r="AM267" s="284"/>
      <c r="AN267" s="319"/>
      <c r="AO267" s="319"/>
      <c r="AP267" s="319"/>
      <c r="AQ267" s="319"/>
    </row>
    <row r="268" ht="15.75" customHeight="1">
      <c r="A268" s="44"/>
      <c r="B268" s="44"/>
      <c r="C268" s="470" t="s">
        <v>195</v>
      </c>
      <c r="D268" s="471"/>
      <c r="E268" s="471"/>
      <c r="F268" s="471"/>
      <c r="G268" s="471"/>
      <c r="H268" s="471"/>
      <c r="I268" s="471"/>
      <c r="J268" s="472">
        <v>4.8</v>
      </c>
      <c r="K268" s="44"/>
      <c r="L268" s="44"/>
      <c r="M268" s="435"/>
      <c r="N268" s="52" t="s">
        <v>196</v>
      </c>
      <c r="R268" s="462"/>
      <c r="S268" s="473"/>
      <c r="T268" s="462"/>
      <c r="U268" s="44"/>
      <c r="V268" s="319"/>
      <c r="W268" s="469"/>
      <c r="X268" s="474" t="s">
        <v>196</v>
      </c>
      <c r="AB268" s="319"/>
      <c r="AC268" s="475"/>
      <c r="AD268" s="319"/>
      <c r="AE268" s="319"/>
      <c r="AF268" s="319"/>
      <c r="AG268" s="319"/>
      <c r="AH268" s="319"/>
      <c r="AL268" s="319"/>
      <c r="AM268" s="319"/>
      <c r="AN268" s="319"/>
      <c r="AO268" s="319"/>
      <c r="AP268" s="319"/>
      <c r="AQ268" s="319"/>
    </row>
    <row r="269" ht="15.75" customHeight="1">
      <c r="A269" s="44"/>
      <c r="B269" s="44"/>
      <c r="C269" s="44"/>
      <c r="D269" s="44"/>
      <c r="E269" s="44"/>
      <c r="F269" s="44"/>
      <c r="G269" s="44"/>
      <c r="H269" s="44"/>
      <c r="I269" s="44"/>
      <c r="J269" s="44"/>
      <c r="K269" s="44"/>
      <c r="L269" s="44"/>
      <c r="M269" s="435"/>
      <c r="N269" s="44" t="s">
        <v>197</v>
      </c>
      <c r="O269" s="44"/>
      <c r="P269" s="44"/>
      <c r="Q269" s="44"/>
      <c r="R269" s="44"/>
      <c r="S269" s="476">
        <f>ABS(U131)*100</f>
        <v>16.52485999</v>
      </c>
      <c r="T269" s="44"/>
      <c r="U269" s="44"/>
      <c r="V269" s="319"/>
      <c r="W269" s="469"/>
      <c r="X269" s="303" t="s">
        <v>198</v>
      </c>
      <c r="Y269" s="319"/>
      <c r="Z269" s="319"/>
      <c r="AA269" s="319"/>
      <c r="AB269" s="319"/>
      <c r="AC269" s="477">
        <f>ABS(U126)*100</f>
        <v>24.97245893</v>
      </c>
      <c r="AD269" s="319"/>
      <c r="AE269" s="319"/>
      <c r="AF269" s="319"/>
      <c r="AG269" s="319"/>
      <c r="AH269" s="319"/>
      <c r="AI269" s="319"/>
      <c r="AJ269" s="319"/>
      <c r="AK269" s="319"/>
      <c r="AL269" s="319"/>
      <c r="AM269" s="466"/>
      <c r="AN269" s="319"/>
      <c r="AO269" s="319"/>
      <c r="AP269" s="319"/>
      <c r="AQ269" s="319"/>
    </row>
    <row r="270" ht="15.75" customHeight="1">
      <c r="A270" s="44"/>
      <c r="B270" s="44"/>
      <c r="C270" s="44"/>
      <c r="D270" s="44"/>
      <c r="E270" s="44"/>
      <c r="F270" s="44"/>
      <c r="G270" s="44"/>
      <c r="H270" s="44"/>
      <c r="I270" s="44"/>
      <c r="J270" s="44"/>
      <c r="K270" s="44"/>
      <c r="L270" s="44"/>
      <c r="M270" s="435"/>
      <c r="N270" s="44" t="s">
        <v>199</v>
      </c>
      <c r="O270" s="44"/>
      <c r="P270" s="44"/>
      <c r="Q270" s="44"/>
      <c r="R270" s="44"/>
      <c r="S270" s="478">
        <v>5.0</v>
      </c>
      <c r="T270" s="44"/>
      <c r="U270" s="44"/>
      <c r="V270" s="319"/>
      <c r="W270" s="469"/>
      <c r="X270" s="303" t="s">
        <v>199</v>
      </c>
      <c r="Y270" s="319"/>
      <c r="Z270" s="319"/>
      <c r="AA270" s="319"/>
      <c r="AB270" s="319"/>
      <c r="AC270" s="479">
        <f t="shared" ref="AC270:AC272" si="199">S270</f>
        <v>5</v>
      </c>
      <c r="AD270" s="319"/>
      <c r="AE270" s="319"/>
      <c r="AF270" s="319"/>
      <c r="AG270" s="319"/>
      <c r="AH270" s="319"/>
      <c r="AI270" s="319"/>
      <c r="AJ270" s="319"/>
      <c r="AK270" s="319"/>
      <c r="AL270" s="319"/>
      <c r="AM270" s="462"/>
      <c r="AN270" s="319"/>
      <c r="AO270" s="319"/>
      <c r="AP270" s="319"/>
      <c r="AQ270" s="319"/>
    </row>
    <row r="271" ht="15.75" customHeight="1">
      <c r="A271" s="44"/>
      <c r="B271" s="44"/>
      <c r="C271" s="44"/>
      <c r="D271" s="44"/>
      <c r="E271" s="44"/>
      <c r="F271" s="44"/>
      <c r="G271" s="44"/>
      <c r="H271" s="44"/>
      <c r="I271" s="44"/>
      <c r="J271" s="44"/>
      <c r="K271" s="44"/>
      <c r="L271" s="44"/>
      <c r="M271" s="435"/>
      <c r="N271" s="44" t="s">
        <v>200</v>
      </c>
      <c r="O271" s="44"/>
      <c r="P271" s="44"/>
      <c r="Q271" s="44"/>
      <c r="R271" s="303"/>
      <c r="S271" s="480">
        <v>2.5</v>
      </c>
      <c r="T271" s="303"/>
      <c r="U271" s="44"/>
      <c r="V271" s="319"/>
      <c r="W271" s="469"/>
      <c r="X271" s="303" t="s">
        <v>200</v>
      </c>
      <c r="Y271" s="319"/>
      <c r="Z271" s="319"/>
      <c r="AA271" s="319"/>
      <c r="AB271" s="319"/>
      <c r="AC271" s="481">
        <f t="shared" si="199"/>
        <v>2.5</v>
      </c>
      <c r="AD271" s="319"/>
      <c r="AE271" s="319"/>
      <c r="AF271" s="319"/>
      <c r="AG271" s="319"/>
      <c r="AH271" s="319"/>
      <c r="AI271" s="319"/>
      <c r="AJ271" s="319"/>
      <c r="AK271" s="319"/>
      <c r="AL271" s="319"/>
      <c r="AM271" s="462"/>
      <c r="AN271" s="319"/>
      <c r="AO271" s="319"/>
      <c r="AP271" s="319"/>
      <c r="AQ271" s="319"/>
    </row>
    <row r="272" ht="15.75" customHeight="1">
      <c r="A272" s="44"/>
      <c r="B272" s="44"/>
      <c r="C272" s="44"/>
      <c r="D272" s="44"/>
      <c r="E272" s="44"/>
      <c r="F272" s="44"/>
      <c r="G272" s="44"/>
      <c r="H272" s="44"/>
      <c r="I272" s="44"/>
      <c r="J272" s="44"/>
      <c r="K272" s="44"/>
      <c r="L272" s="44"/>
      <c r="M272" s="435"/>
      <c r="N272" s="482" t="s">
        <v>201</v>
      </c>
      <c r="O272" s="44"/>
      <c r="P272" s="44"/>
      <c r="Q272" s="44"/>
      <c r="R272" s="462"/>
      <c r="S272" s="483">
        <v>8.0</v>
      </c>
      <c r="T272" s="462"/>
      <c r="U272" s="44"/>
      <c r="V272" s="44"/>
      <c r="W272" s="469"/>
      <c r="X272" s="484" t="s">
        <v>201</v>
      </c>
      <c r="Y272" s="44"/>
      <c r="Z272" s="44"/>
      <c r="AA272" s="44"/>
      <c r="AB272" s="44"/>
      <c r="AC272" s="483">
        <f t="shared" si="199"/>
        <v>8</v>
      </c>
      <c r="AD272" s="44"/>
      <c r="AE272" s="44"/>
      <c r="AF272" s="44"/>
      <c r="AG272" s="44"/>
      <c r="AH272" s="44"/>
      <c r="AI272" s="44"/>
      <c r="AJ272" s="44"/>
      <c r="AK272" s="44"/>
      <c r="AL272" s="44"/>
      <c r="AM272" s="44"/>
      <c r="AN272" s="44"/>
      <c r="AO272" s="44"/>
      <c r="AP272" s="44"/>
      <c r="AQ272" s="44"/>
    </row>
    <row r="273" ht="15.75" customHeight="1">
      <c r="A273" s="44"/>
      <c r="B273" s="44"/>
      <c r="C273" s="44"/>
      <c r="D273" s="44"/>
      <c r="E273" s="44"/>
      <c r="F273" s="44"/>
      <c r="G273" s="44"/>
      <c r="H273" s="44"/>
      <c r="I273" s="44"/>
      <c r="J273" s="44"/>
      <c r="K273" s="44"/>
      <c r="L273" s="44"/>
      <c r="M273" s="435"/>
      <c r="N273" s="44" t="s">
        <v>202</v>
      </c>
      <c r="O273" s="44"/>
      <c r="P273" s="44"/>
      <c r="Q273" s="44"/>
      <c r="R273" s="462"/>
      <c r="S273" s="483">
        <v>0.85</v>
      </c>
      <c r="T273" s="462"/>
      <c r="U273" s="44"/>
      <c r="V273" s="319"/>
      <c r="W273" s="469"/>
      <c r="X273" s="303" t="s">
        <v>202</v>
      </c>
      <c r="Y273" s="319"/>
      <c r="Z273" s="319"/>
      <c r="AA273" s="319"/>
      <c r="AB273" s="319"/>
      <c r="AC273" s="485">
        <v>0.85</v>
      </c>
      <c r="AD273" s="319"/>
      <c r="AE273" s="319"/>
      <c r="AF273" s="319"/>
      <c r="AG273" s="319"/>
      <c r="AH273" s="319"/>
      <c r="AI273" s="319"/>
      <c r="AJ273" s="319"/>
      <c r="AK273" s="319"/>
      <c r="AL273" s="319"/>
      <c r="AM273" s="319"/>
      <c r="AN273" s="319"/>
      <c r="AO273" s="319"/>
      <c r="AP273" s="319"/>
      <c r="AQ273" s="319"/>
    </row>
    <row r="274" ht="15.75" customHeight="1">
      <c r="A274" s="44"/>
      <c r="B274" s="44"/>
      <c r="C274" s="44"/>
      <c r="D274" s="44"/>
      <c r="E274" s="44"/>
      <c r="F274" s="44"/>
      <c r="G274" s="44"/>
      <c r="H274" s="44"/>
      <c r="I274" s="44"/>
      <c r="J274" s="44"/>
      <c r="K274" s="44"/>
      <c r="L274" s="44"/>
      <c r="M274" s="435"/>
      <c r="N274" s="486" t="s">
        <v>203</v>
      </c>
      <c r="O274" s="44"/>
      <c r="P274" s="44"/>
      <c r="Q274" s="44"/>
      <c r="R274" s="462"/>
      <c r="S274" s="487">
        <f>(Q202+R202+S202+T202+U202)/5</f>
        <v>0.583815591</v>
      </c>
      <c r="T274" s="462"/>
      <c r="U274" s="44"/>
      <c r="V274" s="44"/>
      <c r="W274" s="469"/>
      <c r="X274" s="488" t="s">
        <v>203</v>
      </c>
      <c r="Y274" s="44"/>
      <c r="Z274" s="44"/>
      <c r="AA274" s="44"/>
      <c r="AB274" s="44"/>
      <c r="AC274" s="487">
        <f>S274</f>
        <v>0.583815591</v>
      </c>
      <c r="AD274" s="44"/>
      <c r="AE274" s="44"/>
      <c r="AF274" s="44"/>
      <c r="AG274" s="44"/>
      <c r="AH274" s="44"/>
      <c r="AI274" s="44"/>
      <c r="AJ274" s="44"/>
      <c r="AK274" s="44"/>
      <c r="AL274" s="44"/>
      <c r="AM274" s="303"/>
      <c r="AN274" s="44"/>
      <c r="AO274" s="44"/>
      <c r="AP274" s="44"/>
      <c r="AQ274" s="44"/>
    </row>
    <row r="275" ht="15.75" customHeight="1">
      <c r="A275" s="44"/>
      <c r="B275" s="44"/>
      <c r="C275" s="44"/>
      <c r="D275" s="44"/>
      <c r="E275" s="44"/>
      <c r="F275" s="44"/>
      <c r="G275" s="44"/>
      <c r="H275" s="44"/>
      <c r="I275" s="44"/>
      <c r="J275" s="44"/>
      <c r="K275" s="44"/>
      <c r="L275" s="44"/>
      <c r="M275" s="435"/>
      <c r="N275" s="489" t="s">
        <v>204</v>
      </c>
      <c r="Q275" s="44"/>
      <c r="R275" s="454"/>
      <c r="S275" s="490">
        <f>(((S269-S270)/(S272-S270))*0.3)+(((S269-S271)/(S272-S271))*0.7)</f>
        <v>2.937468179</v>
      </c>
      <c r="T275" s="454"/>
      <c r="U275" s="44"/>
      <c r="V275" s="319"/>
      <c r="W275" s="469"/>
      <c r="X275" s="491" t="s">
        <v>204</v>
      </c>
      <c r="AA275" s="319"/>
      <c r="AB275" s="319"/>
      <c r="AC275" s="490">
        <f>((((AC269-AC270)/(AC272-AC270))*(1+U90))*0.3)+((((AC269-AC271)/(AC272-AC271))*(1+U90))*0.7)</f>
        <v>4.85737703</v>
      </c>
      <c r="AD275" s="319"/>
      <c r="AE275" s="319"/>
      <c r="AF275" s="319"/>
      <c r="AG275" s="319"/>
      <c r="AH275" s="319"/>
      <c r="AK275" s="319"/>
      <c r="AL275" s="319"/>
      <c r="AM275" s="462"/>
      <c r="AN275" s="319"/>
      <c r="AO275" s="319"/>
      <c r="AP275" s="319"/>
      <c r="AQ275" s="319"/>
    </row>
    <row r="276" ht="15.75" customHeight="1">
      <c r="A276" s="44"/>
      <c r="B276" s="44"/>
      <c r="C276" s="44"/>
      <c r="D276" s="44"/>
      <c r="E276" s="44"/>
      <c r="F276" s="44"/>
      <c r="G276" s="44"/>
      <c r="H276" s="44"/>
      <c r="I276" s="44"/>
      <c r="J276" s="44"/>
      <c r="K276" s="44"/>
      <c r="L276" s="44"/>
      <c r="M276" s="435"/>
      <c r="N276" s="52" t="s">
        <v>205</v>
      </c>
      <c r="R276" s="284"/>
      <c r="S276" s="481">
        <f>S275*S273</f>
        <v>2.496847952</v>
      </c>
      <c r="T276" s="284"/>
      <c r="U276" s="492"/>
      <c r="V276" s="319"/>
      <c r="W276" s="469"/>
      <c r="X276" s="474" t="s">
        <v>205</v>
      </c>
      <c r="AB276" s="319"/>
      <c r="AC276" s="481">
        <f>AC275*AC273</f>
        <v>4.128770476</v>
      </c>
      <c r="AD276" s="319"/>
      <c r="AE276" s="319"/>
      <c r="AF276" s="319"/>
      <c r="AG276" s="319"/>
      <c r="AH276" s="319"/>
      <c r="AL276" s="319"/>
      <c r="AM276" s="462"/>
      <c r="AN276" s="319"/>
      <c r="AO276" s="319"/>
      <c r="AP276" s="319"/>
      <c r="AQ276" s="319"/>
    </row>
    <row r="277" ht="15.75" customHeight="1">
      <c r="A277" s="44"/>
      <c r="B277" s="44"/>
      <c r="C277" s="44"/>
      <c r="D277" s="44"/>
      <c r="E277" s="44"/>
      <c r="F277" s="44"/>
      <c r="G277" s="44"/>
      <c r="H277" s="44"/>
      <c r="I277" s="44"/>
      <c r="J277" s="44"/>
      <c r="K277" s="44"/>
      <c r="L277" s="44"/>
      <c r="M277" s="435"/>
      <c r="N277" s="493" t="s">
        <v>206</v>
      </c>
      <c r="O277" s="494"/>
      <c r="P277" s="494"/>
      <c r="Q277" s="494"/>
      <c r="R277" s="312"/>
      <c r="S277" s="495">
        <f>S275*0.8</f>
        <v>2.349974543</v>
      </c>
      <c r="T277" s="303"/>
      <c r="U277" s="492"/>
      <c r="V277" s="319"/>
      <c r="W277" s="469"/>
      <c r="X277" s="496" t="s">
        <v>206</v>
      </c>
      <c r="Y277" s="494"/>
      <c r="Z277" s="494"/>
      <c r="AA277" s="494"/>
      <c r="AB277" s="451"/>
      <c r="AC277" s="495">
        <f>AC275*0.8</f>
        <v>3.885901624</v>
      </c>
      <c r="AD277" s="319"/>
      <c r="AE277" s="319"/>
      <c r="AF277" s="319"/>
      <c r="AG277" s="319"/>
      <c r="AH277" s="319"/>
      <c r="AL277" s="319"/>
      <c r="AM277" s="462"/>
      <c r="AN277" s="319"/>
      <c r="AO277" s="319"/>
      <c r="AP277" s="319"/>
      <c r="AQ277" s="319"/>
    </row>
    <row r="278" ht="15.75" customHeight="1">
      <c r="A278" s="44"/>
      <c r="B278" s="44"/>
      <c r="C278" s="44"/>
      <c r="D278" s="44"/>
      <c r="E278" s="44"/>
      <c r="F278" s="44"/>
      <c r="G278" s="44"/>
      <c r="H278" s="44"/>
      <c r="I278" s="44"/>
      <c r="J278" s="44"/>
      <c r="K278" s="44"/>
      <c r="L278" s="44"/>
      <c r="M278" s="44"/>
      <c r="N278" s="44"/>
      <c r="O278" s="44"/>
      <c r="P278" s="44"/>
      <c r="Q278" s="44"/>
      <c r="R278" s="303"/>
      <c r="S278" s="454"/>
      <c r="T278" s="303"/>
      <c r="U278" s="492"/>
      <c r="V278" s="319"/>
      <c r="W278" s="303"/>
      <c r="X278" s="303"/>
      <c r="Y278" s="319"/>
      <c r="Z278" s="319"/>
      <c r="AA278" s="319"/>
      <c r="AB278" s="319"/>
      <c r="AC278" s="454"/>
      <c r="AD278" s="319"/>
      <c r="AE278" s="319"/>
      <c r="AF278" s="319"/>
      <c r="AG278" s="319"/>
      <c r="AH278" s="319"/>
      <c r="AI278" s="319"/>
      <c r="AJ278" s="319"/>
      <c r="AK278" s="319"/>
      <c r="AL278" s="319"/>
      <c r="AM278" s="454"/>
      <c r="AN278" s="319"/>
      <c r="AO278" s="319"/>
      <c r="AP278" s="319"/>
      <c r="AQ278" s="319"/>
    </row>
    <row r="279" ht="15.75" customHeight="1">
      <c r="A279" s="44"/>
      <c r="B279" s="44"/>
      <c r="C279" s="44"/>
      <c r="D279" s="44"/>
      <c r="E279" s="44"/>
      <c r="F279" s="44"/>
      <c r="G279" s="44"/>
      <c r="H279" s="44"/>
      <c r="I279" s="44"/>
      <c r="J279" s="44"/>
      <c r="K279" s="44"/>
      <c r="L279" s="44"/>
      <c r="M279" s="44"/>
      <c r="N279" s="44"/>
      <c r="O279" s="44"/>
      <c r="P279" s="44"/>
      <c r="Q279" s="44"/>
      <c r="R279" s="303"/>
      <c r="S279" s="284"/>
      <c r="T279" s="303"/>
      <c r="U279" s="492"/>
      <c r="V279" s="44"/>
      <c r="W279" s="303"/>
      <c r="X279" s="303"/>
      <c r="Y279" s="44"/>
      <c r="Z279" s="44"/>
      <c r="AA279" s="44"/>
      <c r="AB279" s="44"/>
      <c r="AC279" s="284"/>
      <c r="AD279" s="44"/>
      <c r="AE279" s="44"/>
      <c r="AF279" s="44"/>
      <c r="AG279" s="44"/>
      <c r="AH279" s="44"/>
      <c r="AI279" s="44"/>
      <c r="AJ279" s="44"/>
      <c r="AK279" s="44"/>
      <c r="AL279" s="44"/>
      <c r="AM279" s="284"/>
      <c r="AN279" s="44"/>
      <c r="AO279" s="44"/>
      <c r="AP279" s="44"/>
      <c r="AQ279" s="44"/>
    </row>
    <row r="280" ht="15.75" customHeight="1">
      <c r="A280" s="44"/>
      <c r="B280" s="44"/>
      <c r="C280" s="497" t="s">
        <v>207</v>
      </c>
      <c r="D280" s="44"/>
      <c r="E280" s="44"/>
      <c r="F280" s="44"/>
      <c r="G280" s="44"/>
      <c r="H280" s="44"/>
      <c r="I280" s="44"/>
      <c r="J280" s="498">
        <v>0.14</v>
      </c>
      <c r="K280" s="44"/>
      <c r="L280" s="44"/>
      <c r="M280" s="44"/>
      <c r="N280" s="499" t="s">
        <v>208</v>
      </c>
      <c r="R280" s="500"/>
      <c r="S280" s="501">
        <f>S267*S275</f>
        <v>1705.977559</v>
      </c>
      <c r="T280" s="502">
        <f>S280*J280</f>
        <v>238.8368582</v>
      </c>
      <c r="U280" s="492"/>
      <c r="V280" s="44"/>
      <c r="W280" s="303"/>
      <c r="X280" s="503" t="s">
        <v>208</v>
      </c>
      <c r="AB280" s="504"/>
      <c r="AC280" s="501">
        <f>AC267*AC275</f>
        <v>1722.032352</v>
      </c>
      <c r="AD280" s="502">
        <f>AC280*J280</f>
        <v>241.0845292</v>
      </c>
      <c r="AE280" s="44"/>
      <c r="AF280" s="44"/>
      <c r="AG280" s="44"/>
      <c r="AH280" s="499" t="s">
        <v>208</v>
      </c>
      <c r="AL280" s="504"/>
      <c r="AM280" s="501">
        <f>(AC280*0.3)+(S280*0.7)</f>
        <v>1710.793997</v>
      </c>
      <c r="AN280" s="502">
        <f>AM280*J280</f>
        <v>239.5111595</v>
      </c>
      <c r="AO280" s="44"/>
      <c r="AP280" s="44"/>
      <c r="AQ280" s="44"/>
    </row>
    <row r="281" ht="15.75" customHeight="1">
      <c r="A281" s="44"/>
      <c r="B281" s="44"/>
      <c r="C281" s="44"/>
      <c r="D281" s="44"/>
      <c r="E281" s="44"/>
      <c r="F281" s="44"/>
      <c r="G281" s="44"/>
      <c r="H281" s="44"/>
      <c r="I281" s="44"/>
      <c r="J281" s="44"/>
      <c r="K281" s="44"/>
      <c r="L281" s="44"/>
      <c r="M281" s="44"/>
      <c r="N281" s="44" t="s">
        <v>209</v>
      </c>
      <c r="O281" s="44"/>
      <c r="P281" s="44"/>
      <c r="Q281" s="44"/>
      <c r="R281" s="303"/>
      <c r="S281" s="505">
        <f>S280/J248-100%</f>
        <v>0.9423947483</v>
      </c>
      <c r="T281" s="303"/>
      <c r="U281" s="492"/>
      <c r="V281" s="319"/>
      <c r="W281" s="303"/>
      <c r="X281" s="303" t="s">
        <v>209</v>
      </c>
      <c r="Y281" s="319"/>
      <c r="Z281" s="319"/>
      <c r="AA281" s="319"/>
      <c r="AB281" s="319"/>
      <c r="AC281" s="505">
        <f>AC280/J248-100%</f>
        <v>0.9606744406</v>
      </c>
      <c r="AD281" s="319"/>
      <c r="AE281" s="319"/>
      <c r="AF281" s="319"/>
      <c r="AG281" s="319"/>
      <c r="AH281" s="319" t="s">
        <v>209</v>
      </c>
      <c r="AI281" s="319"/>
      <c r="AJ281" s="319"/>
      <c r="AK281" s="319"/>
      <c r="AL281" s="319"/>
      <c r="AM281" s="505">
        <f>AM280/J248-100%</f>
        <v>0.947878656</v>
      </c>
      <c r="AN281" s="319"/>
      <c r="AO281" s="319"/>
      <c r="AP281" s="319"/>
      <c r="AQ281" s="319"/>
    </row>
    <row r="282" ht="15.75" customHeight="1">
      <c r="A282" s="44"/>
      <c r="B282" s="44"/>
      <c r="C282" s="44"/>
      <c r="D282" s="44"/>
      <c r="E282" s="44"/>
      <c r="F282" s="44"/>
      <c r="G282" s="44"/>
      <c r="H282" s="44"/>
      <c r="I282" s="44"/>
      <c r="J282" s="44"/>
      <c r="K282" s="44"/>
      <c r="L282" s="44"/>
      <c r="M282" s="44"/>
      <c r="N282" s="506" t="s">
        <v>210</v>
      </c>
      <c r="P282" s="507"/>
      <c r="Q282" s="507"/>
      <c r="R282" s="508"/>
      <c r="S282" s="509">
        <f>RRI(J268,J248,S280)</f>
        <v>0.1483395206</v>
      </c>
      <c r="T282" s="303"/>
      <c r="U282" s="492"/>
      <c r="V282" s="319"/>
      <c r="W282" s="303"/>
      <c r="X282" s="510" t="s">
        <v>210</v>
      </c>
      <c r="Z282" s="511"/>
      <c r="AA282" s="511"/>
      <c r="AB282" s="511"/>
      <c r="AC282" s="509">
        <f>RRI(J268,J248,AC280)</f>
        <v>0.1505826209</v>
      </c>
      <c r="AD282" s="319"/>
      <c r="AE282" s="319"/>
      <c r="AF282" s="319"/>
      <c r="AG282" s="319"/>
      <c r="AH282" s="512" t="s">
        <v>210</v>
      </c>
      <c r="AJ282" s="511"/>
      <c r="AK282" s="511"/>
      <c r="AL282" s="511"/>
      <c r="AM282" s="509">
        <f>RRI(J268,J248,AM280)</f>
        <v>0.1490141991</v>
      </c>
      <c r="AN282" s="319"/>
      <c r="AO282" s="319"/>
      <c r="AP282" s="319"/>
      <c r="AQ282" s="319"/>
    </row>
    <row r="283" ht="15.75" customHeight="1">
      <c r="A283" s="44"/>
      <c r="B283" s="44"/>
      <c r="C283" s="44"/>
      <c r="D283" s="44"/>
      <c r="E283" s="44"/>
      <c r="F283" s="44"/>
      <c r="G283" s="44"/>
      <c r="H283" s="44"/>
      <c r="I283" s="44"/>
      <c r="J283" s="44"/>
      <c r="K283" s="44"/>
      <c r="L283" s="44"/>
      <c r="M283" s="44"/>
      <c r="N283" s="44" t="s">
        <v>211</v>
      </c>
      <c r="O283" s="44"/>
      <c r="P283" s="44"/>
      <c r="Q283" s="44"/>
      <c r="R283" s="303"/>
      <c r="S283" s="513">
        <f>J257</f>
        <v>0.02065944243</v>
      </c>
      <c r="T283" s="303"/>
      <c r="U283" s="492"/>
      <c r="V283" s="319"/>
      <c r="W283" s="303"/>
      <c r="X283" s="303" t="s">
        <v>211</v>
      </c>
      <c r="Y283" s="319"/>
      <c r="Z283" s="319"/>
      <c r="AA283" s="319"/>
      <c r="AB283" s="319"/>
      <c r="AC283" s="513">
        <f>S283</f>
        <v>0.02065944243</v>
      </c>
      <c r="AD283" s="319"/>
      <c r="AE283" s="319"/>
      <c r="AF283" s="319"/>
      <c r="AG283" s="319"/>
      <c r="AH283" s="319" t="s">
        <v>211</v>
      </c>
      <c r="AI283" s="319"/>
      <c r="AJ283" s="319"/>
      <c r="AK283" s="319"/>
      <c r="AL283" s="319"/>
      <c r="AM283" s="513">
        <f>AC283</f>
        <v>0.02065944243</v>
      </c>
      <c r="AN283" s="319"/>
      <c r="AO283" s="319"/>
      <c r="AP283" s="319"/>
      <c r="AQ283" s="319"/>
    </row>
    <row r="284" ht="15.75" customHeight="1">
      <c r="A284" s="44"/>
      <c r="B284" s="44"/>
      <c r="C284" s="44"/>
      <c r="D284" s="44"/>
      <c r="E284" s="44"/>
      <c r="F284" s="44"/>
      <c r="G284" s="44"/>
      <c r="H284" s="44"/>
      <c r="I284" s="44"/>
      <c r="J284" s="44"/>
      <c r="K284" s="44"/>
      <c r="L284" s="44"/>
      <c r="M284" s="44"/>
      <c r="N284" s="431" t="s">
        <v>212</v>
      </c>
      <c r="O284" s="432"/>
      <c r="P284" s="432"/>
      <c r="Q284" s="432"/>
      <c r="R284" s="514"/>
      <c r="S284" s="515">
        <f>S282+S283</f>
        <v>0.168998963</v>
      </c>
      <c r="T284" s="303"/>
      <c r="U284" s="492"/>
      <c r="V284" s="319"/>
      <c r="W284" s="303"/>
      <c r="X284" s="516" t="s">
        <v>212</v>
      </c>
      <c r="Y284" s="438"/>
      <c r="Z284" s="438"/>
      <c r="AA284" s="438"/>
      <c r="AB284" s="438"/>
      <c r="AC284" s="515">
        <f>AC282+AC283</f>
        <v>0.1712420633</v>
      </c>
      <c r="AD284" s="319"/>
      <c r="AE284" s="319"/>
      <c r="AF284" s="319"/>
      <c r="AG284" s="319"/>
      <c r="AH284" s="437" t="s">
        <v>212</v>
      </c>
      <c r="AI284" s="438"/>
      <c r="AJ284" s="438"/>
      <c r="AK284" s="438"/>
      <c r="AL284" s="438"/>
      <c r="AM284" s="515">
        <f>AM282+AM283</f>
        <v>0.1696736416</v>
      </c>
      <c r="AN284" s="319"/>
      <c r="AO284" s="319"/>
      <c r="AP284" s="319"/>
      <c r="AQ284" s="319"/>
    </row>
    <row r="285" ht="15.75" customHeight="1">
      <c r="A285" s="44"/>
      <c r="B285" s="44"/>
      <c r="C285" s="44"/>
      <c r="D285" s="44"/>
      <c r="E285" s="44"/>
      <c r="F285" s="44"/>
      <c r="G285" s="44"/>
      <c r="H285" s="44"/>
      <c r="I285" s="44"/>
      <c r="J285" s="44"/>
      <c r="K285" s="44"/>
      <c r="L285" s="44"/>
      <c r="M285" s="44"/>
      <c r="N285" s="44" t="s">
        <v>213</v>
      </c>
      <c r="Q285" s="44"/>
      <c r="R285" s="517"/>
      <c r="S285" s="505">
        <f>S280/J262-100%</f>
        <v>1.106145134</v>
      </c>
      <c r="T285" s="517"/>
      <c r="U285" s="492"/>
      <c r="V285" s="319"/>
      <c r="W285" s="303"/>
      <c r="X285" s="303" t="s">
        <v>214</v>
      </c>
      <c r="AA285" s="319"/>
      <c r="AB285" s="319"/>
      <c r="AC285" s="505">
        <f>AC280/J262-100%</f>
        <v>1.125965866</v>
      </c>
      <c r="AD285" s="319"/>
      <c r="AE285" s="319"/>
      <c r="AF285" s="319"/>
      <c r="AG285" s="319"/>
      <c r="AH285" s="319" t="s">
        <v>215</v>
      </c>
      <c r="AK285" s="319"/>
      <c r="AL285" s="319"/>
      <c r="AM285" s="505">
        <f>AM280/J262-100%</f>
        <v>1.112091354</v>
      </c>
      <c r="AN285" s="319"/>
      <c r="AO285" s="319"/>
      <c r="AP285" s="319"/>
      <c r="AQ285" s="319"/>
    </row>
    <row r="286" ht="15.75" customHeight="1">
      <c r="A286" s="44"/>
      <c r="B286" s="44"/>
      <c r="C286" s="44"/>
      <c r="D286" s="44"/>
      <c r="E286" s="44"/>
      <c r="F286" s="44"/>
      <c r="G286" s="44"/>
      <c r="H286" s="44"/>
      <c r="I286" s="44"/>
      <c r="J286" s="44"/>
      <c r="K286" s="44"/>
      <c r="L286" s="44"/>
      <c r="M286" s="44"/>
      <c r="N286" s="518" t="s">
        <v>216</v>
      </c>
      <c r="P286" s="519"/>
      <c r="Q286" s="519"/>
      <c r="R286" s="520"/>
      <c r="S286" s="521">
        <f>RRI(J268,J262,S280)</f>
        <v>0.1678670213</v>
      </c>
      <c r="T286" s="461"/>
      <c r="U286" s="492"/>
      <c r="V286" s="319"/>
      <c r="W286" s="303"/>
      <c r="X286" s="522" t="s">
        <v>216</v>
      </c>
      <c r="Z286" s="523"/>
      <c r="AA286" s="523"/>
      <c r="AB286" s="523"/>
      <c r="AC286" s="521">
        <f>RRI(J268,J262,AC280)</f>
        <v>0.1701482655</v>
      </c>
      <c r="AD286" s="319"/>
      <c r="AE286" s="319"/>
      <c r="AF286" s="319"/>
      <c r="AG286" s="319"/>
      <c r="AH286" s="524" t="s">
        <v>216</v>
      </c>
      <c r="AJ286" s="523"/>
      <c r="AK286" s="523"/>
      <c r="AL286" s="523"/>
      <c r="AM286" s="521">
        <f>RRI(J268,J262,AM280)</f>
        <v>0.1685531727</v>
      </c>
      <c r="AN286" s="319"/>
      <c r="AO286" s="319"/>
      <c r="AP286" s="319"/>
      <c r="AQ286" s="319"/>
    </row>
    <row r="287" ht="15.75" customHeight="1">
      <c r="A287" s="44"/>
      <c r="B287" s="44"/>
      <c r="C287" s="44"/>
      <c r="D287" s="44"/>
      <c r="E287" s="44"/>
      <c r="F287" s="44"/>
      <c r="G287" s="44"/>
      <c r="H287" s="44"/>
      <c r="I287" s="44"/>
      <c r="J287" s="44"/>
      <c r="K287" s="44"/>
      <c r="L287" s="44"/>
      <c r="M287" s="44"/>
      <c r="N287" s="44" t="s">
        <v>211</v>
      </c>
      <c r="O287" s="44"/>
      <c r="P287" s="44"/>
      <c r="Q287" s="44"/>
      <c r="R287" s="303"/>
      <c r="S287" s="513">
        <f>J257</f>
        <v>0.02065944243</v>
      </c>
      <c r="T287" s="303"/>
      <c r="U287" s="492"/>
      <c r="V287" s="319"/>
      <c r="W287" s="303"/>
      <c r="X287" s="303" t="s">
        <v>211</v>
      </c>
      <c r="Y287" s="319"/>
      <c r="Z287" s="319"/>
      <c r="AA287" s="319"/>
      <c r="AB287" s="319"/>
      <c r="AC287" s="513">
        <f>S287</f>
        <v>0.02065944243</v>
      </c>
      <c r="AD287" s="319"/>
      <c r="AE287" s="319"/>
      <c r="AF287" s="319"/>
      <c r="AG287" s="319"/>
      <c r="AH287" s="319" t="s">
        <v>211</v>
      </c>
      <c r="AI287" s="319"/>
      <c r="AJ287" s="319"/>
      <c r="AK287" s="319"/>
      <c r="AL287" s="319"/>
      <c r="AM287" s="513">
        <f>AC287</f>
        <v>0.02065944243</v>
      </c>
      <c r="AN287" s="319"/>
      <c r="AO287" s="319"/>
      <c r="AP287" s="319"/>
      <c r="AQ287" s="319"/>
    </row>
    <row r="288" ht="15.75" customHeight="1">
      <c r="A288" s="44"/>
      <c r="B288" s="44"/>
      <c r="C288" s="44"/>
      <c r="D288" s="44"/>
      <c r="E288" s="44"/>
      <c r="F288" s="44"/>
      <c r="G288" s="44"/>
      <c r="H288" s="44"/>
      <c r="I288" s="44"/>
      <c r="J288" s="44"/>
      <c r="K288" s="44"/>
      <c r="L288" s="44"/>
      <c r="M288" s="44"/>
      <c r="N288" s="431" t="s">
        <v>212</v>
      </c>
      <c r="O288" s="432"/>
      <c r="P288" s="432"/>
      <c r="Q288" s="432"/>
      <c r="R288" s="514"/>
      <c r="S288" s="521">
        <f>S286+S287</f>
        <v>0.1885264637</v>
      </c>
      <c r="T288" s="303"/>
      <c r="U288" s="492"/>
      <c r="V288" s="319"/>
      <c r="W288" s="303"/>
      <c r="X288" s="516" t="s">
        <v>212</v>
      </c>
      <c r="Y288" s="438"/>
      <c r="Z288" s="438"/>
      <c r="AA288" s="438"/>
      <c r="AB288" s="438"/>
      <c r="AC288" s="521">
        <f>AC286+AC287</f>
        <v>0.1908077079</v>
      </c>
      <c r="AD288" s="319"/>
      <c r="AE288" s="319"/>
      <c r="AF288" s="319"/>
      <c r="AG288" s="319"/>
      <c r="AH288" s="437" t="s">
        <v>212</v>
      </c>
      <c r="AI288" s="438"/>
      <c r="AJ288" s="438"/>
      <c r="AK288" s="438"/>
      <c r="AL288" s="438"/>
      <c r="AM288" s="521">
        <f>AM286+AM287</f>
        <v>0.1892126152</v>
      </c>
      <c r="AN288" s="319"/>
      <c r="AO288" s="319"/>
      <c r="AP288" s="319"/>
      <c r="AQ288" s="319"/>
    </row>
    <row r="289" ht="15.75" customHeight="1">
      <c r="A289" s="44"/>
      <c r="B289" s="44"/>
      <c r="C289" s="44"/>
      <c r="D289" s="44"/>
      <c r="E289" s="44"/>
      <c r="F289" s="44"/>
      <c r="G289" s="44"/>
      <c r="H289" s="44"/>
      <c r="I289" s="44"/>
      <c r="J289" s="44"/>
      <c r="K289" s="44"/>
      <c r="L289" s="44"/>
      <c r="M289" s="44"/>
      <c r="N289" s="44"/>
      <c r="O289" s="44"/>
      <c r="P289" s="44"/>
      <c r="Q289" s="44"/>
      <c r="R289" s="303"/>
      <c r="S289" s="517"/>
      <c r="T289" s="303"/>
      <c r="U289" s="492"/>
      <c r="V289" s="319"/>
      <c r="W289" s="303"/>
      <c r="X289" s="303"/>
      <c r="Y289" s="319"/>
      <c r="Z289" s="319"/>
      <c r="AA289" s="319"/>
      <c r="AB289" s="319"/>
      <c r="AC289" s="517"/>
      <c r="AD289" s="319"/>
      <c r="AE289" s="319"/>
      <c r="AF289" s="319"/>
      <c r="AG289" s="319"/>
      <c r="AH289" s="319"/>
      <c r="AI289" s="319"/>
      <c r="AJ289" s="319"/>
      <c r="AK289" s="319"/>
      <c r="AL289" s="319"/>
      <c r="AM289" s="517"/>
      <c r="AN289" s="319"/>
      <c r="AO289" s="319"/>
      <c r="AP289" s="319"/>
      <c r="AQ289" s="319"/>
    </row>
    <row r="290" ht="15.75" customHeight="1">
      <c r="A290" s="44"/>
      <c r="B290" s="44"/>
      <c r="C290" s="44"/>
      <c r="D290" s="44"/>
      <c r="E290" s="44"/>
      <c r="F290" s="44"/>
      <c r="G290" s="44"/>
      <c r="H290" s="44"/>
      <c r="I290" s="44"/>
      <c r="J290" s="44"/>
      <c r="K290" s="44"/>
      <c r="L290" s="44"/>
      <c r="M290" s="525"/>
      <c r="N290" s="526"/>
      <c r="O290" s="526"/>
      <c r="P290" s="526"/>
      <c r="Q290" s="526"/>
      <c r="R290" s="527"/>
      <c r="S290" s="528"/>
      <c r="T290" s="529"/>
      <c r="U290" s="492"/>
      <c r="V290" s="319"/>
      <c r="W290" s="530"/>
      <c r="X290" s="527"/>
      <c r="Y290" s="531"/>
      <c r="Z290" s="531"/>
      <c r="AA290" s="531"/>
      <c r="AB290" s="531"/>
      <c r="AC290" s="528"/>
      <c r="AD290" s="532"/>
      <c r="AE290" s="319"/>
      <c r="AF290" s="319"/>
      <c r="AG290" s="533"/>
      <c r="AH290" s="531"/>
      <c r="AI290" s="531"/>
      <c r="AJ290" s="531"/>
      <c r="AK290" s="531"/>
      <c r="AL290" s="531"/>
      <c r="AM290" s="528"/>
      <c r="AN290" s="532"/>
      <c r="AO290" s="319"/>
      <c r="AP290" s="319"/>
      <c r="AQ290" s="319"/>
    </row>
    <row r="291" ht="15.75" customHeight="1">
      <c r="A291" s="44"/>
      <c r="B291" s="44"/>
      <c r="C291" s="44"/>
      <c r="D291" s="44"/>
      <c r="E291" s="44"/>
      <c r="F291" s="44"/>
      <c r="G291" s="44"/>
      <c r="H291" s="44"/>
      <c r="I291" s="44"/>
      <c r="J291" s="44"/>
      <c r="K291" s="44"/>
      <c r="L291" s="44"/>
      <c r="M291" s="534"/>
      <c r="N291" s="535" t="s">
        <v>217</v>
      </c>
      <c r="S291" s="536">
        <f>S267*S276</f>
        <v>1450.080925</v>
      </c>
      <c r="T291" s="537">
        <f>S291*J280</f>
        <v>203.0113295</v>
      </c>
      <c r="U291" s="492"/>
      <c r="V291" s="319"/>
      <c r="W291" s="538"/>
      <c r="X291" s="539" t="s">
        <v>217</v>
      </c>
      <c r="AC291" s="536">
        <f>AC267*AC276</f>
        <v>1463.727499</v>
      </c>
      <c r="AD291" s="537">
        <f>AC291*J280</f>
        <v>204.9218498</v>
      </c>
      <c r="AE291" s="319"/>
      <c r="AF291" s="319"/>
      <c r="AG291" s="540"/>
      <c r="AH291" s="541" t="s">
        <v>217</v>
      </c>
      <c r="AM291" s="542">
        <f>(AC291*0.3)+(S291*0.7)</f>
        <v>1454.174897</v>
      </c>
      <c r="AN291" s="537">
        <f>AM291*J280</f>
        <v>203.5844856</v>
      </c>
      <c r="AO291" s="319"/>
      <c r="AP291" s="319"/>
      <c r="AQ291" s="319"/>
    </row>
    <row r="292" ht="15.75" customHeight="1">
      <c r="A292" s="44"/>
      <c r="B292" s="44"/>
      <c r="C292" s="44"/>
      <c r="D292" s="44"/>
      <c r="E292" s="44"/>
      <c r="F292" s="44"/>
      <c r="G292" s="44"/>
      <c r="H292" s="44"/>
      <c r="I292" s="44"/>
      <c r="J292" s="44"/>
      <c r="K292" s="44"/>
      <c r="L292" s="44"/>
      <c r="M292" s="534"/>
      <c r="N292" s="44" t="s">
        <v>209</v>
      </c>
      <c r="O292" s="44"/>
      <c r="P292" s="44"/>
      <c r="Q292" s="44"/>
      <c r="R292" s="303"/>
      <c r="S292" s="513">
        <f>S291/J248-100%</f>
        <v>0.651035536</v>
      </c>
      <c r="T292" s="543"/>
      <c r="U292" s="492"/>
      <c r="V292" s="319"/>
      <c r="W292" s="538"/>
      <c r="X292" s="303" t="s">
        <v>209</v>
      </c>
      <c r="Y292" s="319"/>
      <c r="Z292" s="319"/>
      <c r="AA292" s="319"/>
      <c r="AB292" s="319"/>
      <c r="AC292" s="513">
        <f>AC291/J248-100%</f>
        <v>0.6665732745</v>
      </c>
      <c r="AD292" s="537"/>
      <c r="AE292" s="319"/>
      <c r="AF292" s="319"/>
      <c r="AG292" s="540"/>
      <c r="AH292" s="319" t="s">
        <v>209</v>
      </c>
      <c r="AI292" s="319"/>
      <c r="AJ292" s="319"/>
      <c r="AK292" s="319"/>
      <c r="AL292" s="319"/>
      <c r="AM292" s="513">
        <f>AM291/J248-100%</f>
        <v>0.6556968576</v>
      </c>
      <c r="AN292" s="544"/>
      <c r="AO292" s="319"/>
      <c r="AP292" s="319"/>
      <c r="AQ292" s="319"/>
    </row>
    <row r="293" ht="15.75" customHeight="1">
      <c r="A293" s="44"/>
      <c r="B293" s="44"/>
      <c r="C293" s="44"/>
      <c r="D293" s="44"/>
      <c r="E293" s="44"/>
      <c r="F293" s="44"/>
      <c r="G293" s="44"/>
      <c r="H293" s="44"/>
      <c r="I293" s="44"/>
      <c r="J293" s="44"/>
      <c r="K293" s="44"/>
      <c r="L293" s="44"/>
      <c r="M293" s="534"/>
      <c r="N293" s="506" t="s">
        <v>210</v>
      </c>
      <c r="P293" s="507"/>
      <c r="Q293" s="519"/>
      <c r="R293" s="545"/>
      <c r="S293" s="546">
        <f>RRI(J268,J248,S291)</f>
        <v>0.1101097602</v>
      </c>
      <c r="T293" s="543"/>
      <c r="U293" s="492"/>
      <c r="V293" s="319"/>
      <c r="W293" s="538"/>
      <c r="X293" s="510" t="s">
        <v>210</v>
      </c>
      <c r="Z293" s="511"/>
      <c r="AA293" s="523"/>
      <c r="AB293" s="523"/>
      <c r="AC293" s="546">
        <f>RRI(4,J248,AC291)</f>
        <v>0.136203449</v>
      </c>
      <c r="AD293" s="537"/>
      <c r="AE293" s="319"/>
      <c r="AF293" s="319"/>
      <c r="AG293" s="540"/>
      <c r="AH293" s="547" t="s">
        <v>210</v>
      </c>
      <c r="AJ293" s="319"/>
      <c r="AK293" s="319"/>
      <c r="AL293" s="319"/>
      <c r="AM293" s="546">
        <f>RRI(J268,J248,AM291)</f>
        <v>0.1107619778</v>
      </c>
      <c r="AN293" s="544"/>
      <c r="AO293" s="319"/>
      <c r="AP293" s="319"/>
      <c r="AQ293" s="319"/>
    </row>
    <row r="294" ht="15.75" customHeight="1">
      <c r="A294" s="44"/>
      <c r="B294" s="44"/>
      <c r="C294" s="44"/>
      <c r="D294" s="44"/>
      <c r="E294" s="44"/>
      <c r="F294" s="44"/>
      <c r="G294" s="44"/>
      <c r="H294" s="44"/>
      <c r="I294" s="44"/>
      <c r="J294" s="44"/>
      <c r="K294" s="44"/>
      <c r="L294" s="44"/>
      <c r="M294" s="534"/>
      <c r="N294" s="44" t="s">
        <v>211</v>
      </c>
      <c r="O294" s="44"/>
      <c r="P294" s="44"/>
      <c r="Q294" s="44"/>
      <c r="R294" s="303"/>
      <c r="S294" s="513">
        <f>J257</f>
        <v>0.02065944243</v>
      </c>
      <c r="T294" s="543"/>
      <c r="U294" s="492"/>
      <c r="V294" s="319"/>
      <c r="W294" s="538"/>
      <c r="X294" s="303" t="s">
        <v>211</v>
      </c>
      <c r="Y294" s="319"/>
      <c r="Z294" s="319"/>
      <c r="AA294" s="319"/>
      <c r="AB294" s="319"/>
      <c r="AC294" s="513">
        <f>S294</f>
        <v>0.02065944243</v>
      </c>
      <c r="AD294" s="537"/>
      <c r="AE294" s="319"/>
      <c r="AF294" s="319"/>
      <c r="AG294" s="540"/>
      <c r="AH294" s="319" t="s">
        <v>211</v>
      </c>
      <c r="AI294" s="319"/>
      <c r="AJ294" s="319"/>
      <c r="AK294" s="319"/>
      <c r="AL294" s="319"/>
      <c r="AM294" s="513">
        <f>AC294</f>
        <v>0.02065944243</v>
      </c>
      <c r="AN294" s="544"/>
      <c r="AO294" s="319"/>
      <c r="AP294" s="319"/>
      <c r="AQ294" s="319"/>
    </row>
    <row r="295" ht="15.75" customHeight="1">
      <c r="A295" s="44"/>
      <c r="B295" s="44"/>
      <c r="C295" s="44"/>
      <c r="D295" s="44"/>
      <c r="E295" s="44"/>
      <c r="F295" s="44"/>
      <c r="G295" s="44"/>
      <c r="H295" s="44"/>
      <c r="I295" s="44"/>
      <c r="J295" s="44"/>
      <c r="K295" s="44"/>
      <c r="L295" s="44"/>
      <c r="M295" s="534"/>
      <c r="N295" s="431" t="s">
        <v>212</v>
      </c>
      <c r="O295" s="432"/>
      <c r="P295" s="432"/>
      <c r="Q295" s="432"/>
      <c r="R295" s="514"/>
      <c r="S295" s="509">
        <f>S293+S294</f>
        <v>0.1307692026</v>
      </c>
      <c r="T295" s="543"/>
      <c r="U295" s="492"/>
      <c r="V295" s="319"/>
      <c r="W295" s="538"/>
      <c r="X295" s="516" t="s">
        <v>212</v>
      </c>
      <c r="Y295" s="438"/>
      <c r="Z295" s="438"/>
      <c r="AA295" s="438"/>
      <c r="AB295" s="438"/>
      <c r="AC295" s="509">
        <f>AC293+AC294</f>
        <v>0.1568628915</v>
      </c>
      <c r="AD295" s="537"/>
      <c r="AE295" s="319"/>
      <c r="AF295" s="319"/>
      <c r="AG295" s="540"/>
      <c r="AH295" s="548" t="s">
        <v>212</v>
      </c>
      <c r="AI295" s="549"/>
      <c r="AJ295" s="549"/>
      <c r="AK295" s="549"/>
      <c r="AL295" s="549"/>
      <c r="AM295" s="550">
        <f>AM293+AM294</f>
        <v>0.1314214202</v>
      </c>
      <c r="AN295" s="544"/>
      <c r="AO295" s="319"/>
      <c r="AP295" s="319"/>
      <c r="AQ295" s="319"/>
    </row>
    <row r="296" ht="15.75" customHeight="1">
      <c r="A296" s="44"/>
      <c r="B296" s="44"/>
      <c r="C296" s="44"/>
      <c r="D296" s="44"/>
      <c r="E296" s="44"/>
      <c r="F296" s="44"/>
      <c r="G296" s="44"/>
      <c r="H296" s="44"/>
      <c r="I296" s="44"/>
      <c r="J296" s="44"/>
      <c r="K296" s="44"/>
      <c r="L296" s="44"/>
      <c r="M296" s="534"/>
      <c r="N296" s="44" t="s">
        <v>218</v>
      </c>
      <c r="Q296" s="44"/>
      <c r="R296" s="461"/>
      <c r="S296" s="551">
        <f>S291/J262-100%</f>
        <v>0.7902233643</v>
      </c>
      <c r="T296" s="552"/>
      <c r="U296" s="492"/>
      <c r="V296" s="319"/>
      <c r="W296" s="538"/>
      <c r="X296" s="303" t="s">
        <v>219</v>
      </c>
      <c r="AA296" s="319"/>
      <c r="AB296" s="319"/>
      <c r="AC296" s="551">
        <f>AC291/J262-100%</f>
        <v>0.8070709862</v>
      </c>
      <c r="AD296" s="537"/>
      <c r="AE296" s="319"/>
      <c r="AF296" s="319"/>
      <c r="AG296" s="540"/>
      <c r="AH296" s="319" t="s">
        <v>220</v>
      </c>
      <c r="AK296" s="319"/>
      <c r="AL296" s="319"/>
      <c r="AM296" s="551">
        <f>AM291/J262-100%</f>
        <v>0.7952776509</v>
      </c>
      <c r="AN296" s="544"/>
      <c r="AO296" s="319"/>
      <c r="AP296" s="319"/>
      <c r="AQ296" s="319"/>
    </row>
    <row r="297" ht="15.75" customHeight="1">
      <c r="A297" s="44"/>
      <c r="B297" s="44"/>
      <c r="C297" s="44"/>
      <c r="D297" s="44"/>
      <c r="E297" s="44"/>
      <c r="F297" s="44"/>
      <c r="G297" s="44"/>
      <c r="H297" s="44"/>
      <c r="I297" s="44"/>
      <c r="J297" s="44"/>
      <c r="K297" s="44"/>
      <c r="L297" s="44"/>
      <c r="M297" s="534"/>
      <c r="N297" s="518" t="s">
        <v>216</v>
      </c>
      <c r="P297" s="519"/>
      <c r="Q297" s="519"/>
      <c r="R297" s="545"/>
      <c r="S297" s="546">
        <f>RRI(J268,J262,S291)</f>
        <v>0.1289871642</v>
      </c>
      <c r="T297" s="543"/>
      <c r="U297" s="44"/>
      <c r="V297" s="319"/>
      <c r="W297" s="538"/>
      <c r="X297" s="522" t="s">
        <v>216</v>
      </c>
      <c r="Z297" s="523"/>
      <c r="AA297" s="523"/>
      <c r="AB297" s="523"/>
      <c r="AC297" s="546">
        <f>RRI(J268,J262,AC291)</f>
        <v>0.1311924628</v>
      </c>
      <c r="AD297" s="537"/>
      <c r="AE297" s="319"/>
      <c r="AF297" s="319"/>
      <c r="AG297" s="540"/>
      <c r="AH297" s="547" t="s">
        <v>216</v>
      </c>
      <c r="AJ297" s="319"/>
      <c r="AK297" s="319"/>
      <c r="AL297" s="319"/>
      <c r="AM297" s="546">
        <f>RRI(J268,J262,AM291)</f>
        <v>0.1296504728</v>
      </c>
      <c r="AN297" s="544"/>
      <c r="AO297" s="319"/>
      <c r="AP297" s="319"/>
      <c r="AQ297" s="319"/>
    </row>
    <row r="298" ht="15.75" customHeight="1">
      <c r="A298" s="44"/>
      <c r="B298" s="44"/>
      <c r="C298" s="44"/>
      <c r="D298" s="44"/>
      <c r="E298" s="44"/>
      <c r="F298" s="44"/>
      <c r="G298" s="44"/>
      <c r="H298" s="44"/>
      <c r="I298" s="44"/>
      <c r="J298" s="44"/>
      <c r="K298" s="44"/>
      <c r="L298" s="44"/>
      <c r="M298" s="534"/>
      <c r="N298" s="44" t="s">
        <v>211</v>
      </c>
      <c r="O298" s="44"/>
      <c r="P298" s="44"/>
      <c r="Q298" s="44"/>
      <c r="R298" s="303"/>
      <c r="S298" s="513">
        <f>J257</f>
        <v>0.02065944243</v>
      </c>
      <c r="T298" s="543"/>
      <c r="U298" s="44"/>
      <c r="V298" s="319"/>
      <c r="W298" s="538"/>
      <c r="X298" s="303" t="s">
        <v>211</v>
      </c>
      <c r="Y298" s="319"/>
      <c r="Z298" s="319"/>
      <c r="AA298" s="319"/>
      <c r="AB298" s="319"/>
      <c r="AC298" s="513">
        <f>S298</f>
        <v>0.02065944243</v>
      </c>
      <c r="AD298" s="537"/>
      <c r="AE298" s="319"/>
      <c r="AF298" s="319"/>
      <c r="AG298" s="540"/>
      <c r="AH298" s="319" t="s">
        <v>211</v>
      </c>
      <c r="AI298" s="319"/>
      <c r="AJ298" s="319"/>
      <c r="AK298" s="319"/>
      <c r="AL298" s="319"/>
      <c r="AM298" s="513">
        <f>AC298</f>
        <v>0.02065944243</v>
      </c>
      <c r="AN298" s="544"/>
      <c r="AO298" s="319"/>
      <c r="AP298" s="319"/>
      <c r="AQ298" s="319"/>
    </row>
    <row r="299" ht="15.75" customHeight="1">
      <c r="A299" s="44"/>
      <c r="B299" s="44"/>
      <c r="C299" s="44"/>
      <c r="D299" s="44"/>
      <c r="E299" s="44"/>
      <c r="F299" s="44"/>
      <c r="G299" s="44"/>
      <c r="H299" s="44"/>
      <c r="I299" s="44"/>
      <c r="J299" s="44"/>
      <c r="K299" s="44"/>
      <c r="L299" s="44"/>
      <c r="M299" s="534"/>
      <c r="N299" s="431" t="s">
        <v>212</v>
      </c>
      <c r="O299" s="432"/>
      <c r="P299" s="432"/>
      <c r="Q299" s="432"/>
      <c r="R299" s="514"/>
      <c r="S299" s="515">
        <f>S297+S298</f>
        <v>0.1496466067</v>
      </c>
      <c r="T299" s="543"/>
      <c r="U299" s="44"/>
      <c r="V299" s="319"/>
      <c r="W299" s="538"/>
      <c r="X299" s="516" t="s">
        <v>212</v>
      </c>
      <c r="Y299" s="438"/>
      <c r="Z299" s="438"/>
      <c r="AA299" s="438"/>
      <c r="AB299" s="438"/>
      <c r="AC299" s="515">
        <f>AC297+AC298</f>
        <v>0.1518519052</v>
      </c>
      <c r="AD299" s="537"/>
      <c r="AE299" s="319"/>
      <c r="AF299" s="319"/>
      <c r="AG299" s="540"/>
      <c r="AH299" s="553" t="s">
        <v>212</v>
      </c>
      <c r="AI299" s="554"/>
      <c r="AJ299" s="554"/>
      <c r="AK299" s="554"/>
      <c r="AL299" s="554"/>
      <c r="AM299" s="515">
        <f>AM297+AM298</f>
        <v>0.1503099152</v>
      </c>
      <c r="AN299" s="544"/>
      <c r="AO299" s="319"/>
      <c r="AP299" s="319"/>
      <c r="AQ299" s="319"/>
    </row>
    <row r="300" ht="15.75" customHeight="1">
      <c r="A300" s="44"/>
      <c r="B300" s="44"/>
      <c r="C300" s="44"/>
      <c r="D300" s="44"/>
      <c r="E300" s="44"/>
      <c r="F300" s="44"/>
      <c r="G300" s="44"/>
      <c r="H300" s="44"/>
      <c r="I300" s="44"/>
      <c r="J300" s="44"/>
      <c r="K300" s="44"/>
      <c r="L300" s="44"/>
      <c r="M300" s="534"/>
      <c r="N300" s="44"/>
      <c r="O300" s="44"/>
      <c r="P300" s="44"/>
      <c r="Q300" s="44"/>
      <c r="R300" s="303"/>
      <c r="S300" s="303"/>
      <c r="T300" s="543"/>
      <c r="U300" s="44"/>
      <c r="V300" s="319"/>
      <c r="W300" s="538"/>
      <c r="X300" s="303"/>
      <c r="Y300" s="319"/>
      <c r="Z300" s="319"/>
      <c r="AA300" s="319"/>
      <c r="AB300" s="319"/>
      <c r="AC300" s="303"/>
      <c r="AD300" s="537"/>
      <c r="AE300" s="319"/>
      <c r="AF300" s="319"/>
      <c r="AG300" s="540"/>
      <c r="AH300" s="319"/>
      <c r="AI300" s="319"/>
      <c r="AJ300" s="319"/>
      <c r="AK300" s="319"/>
      <c r="AL300" s="319"/>
      <c r="AM300" s="303"/>
      <c r="AN300" s="544"/>
      <c r="AO300" s="319"/>
      <c r="AP300" s="319"/>
      <c r="AQ300" s="319"/>
    </row>
    <row r="301" ht="15.75" customHeight="1">
      <c r="A301" s="44"/>
      <c r="B301" s="44"/>
      <c r="C301" s="44"/>
      <c r="D301" s="44"/>
      <c r="E301" s="44"/>
      <c r="F301" s="44"/>
      <c r="G301" s="44"/>
      <c r="H301" s="44"/>
      <c r="I301" s="44"/>
      <c r="J301" s="44"/>
      <c r="K301" s="44"/>
      <c r="L301" s="44"/>
      <c r="M301" s="534"/>
      <c r="N301" s="44"/>
      <c r="O301" s="44"/>
      <c r="P301" s="44"/>
      <c r="Q301" s="44"/>
      <c r="R301" s="303"/>
      <c r="S301" s="284"/>
      <c r="T301" s="543"/>
      <c r="U301" s="44"/>
      <c r="V301" s="319"/>
      <c r="W301" s="538"/>
      <c r="X301" s="303"/>
      <c r="Y301" s="319"/>
      <c r="Z301" s="319"/>
      <c r="AA301" s="319"/>
      <c r="AB301" s="319"/>
      <c r="AC301" s="284"/>
      <c r="AD301" s="537"/>
      <c r="AE301" s="319"/>
      <c r="AF301" s="319"/>
      <c r="AG301" s="540"/>
      <c r="AH301" s="319"/>
      <c r="AI301" s="319"/>
      <c r="AJ301" s="319"/>
      <c r="AK301" s="319"/>
      <c r="AL301" s="319"/>
      <c r="AM301" s="284"/>
      <c r="AN301" s="544"/>
      <c r="AO301" s="319"/>
      <c r="AP301" s="319"/>
      <c r="AQ301" s="319"/>
    </row>
    <row r="302" ht="15.75" customHeight="1">
      <c r="A302" s="44"/>
      <c r="B302" s="44"/>
      <c r="C302" s="44"/>
      <c r="M302" s="534"/>
      <c r="N302" s="555" t="s">
        <v>221</v>
      </c>
      <c r="O302" s="25"/>
      <c r="P302" s="25"/>
      <c r="Q302" s="25"/>
      <c r="R302" s="25"/>
      <c r="S302" s="556">
        <f>S267*S277</f>
        <v>1364.782047</v>
      </c>
      <c r="T302" s="537">
        <f>S302*J280</f>
        <v>191.0694866</v>
      </c>
      <c r="U302" s="44"/>
      <c r="V302" s="319"/>
      <c r="W302" s="538"/>
      <c r="X302" s="557" t="s">
        <v>221</v>
      </c>
      <c r="Y302" s="25"/>
      <c r="Z302" s="25"/>
      <c r="AA302" s="25"/>
      <c r="AB302" s="25"/>
      <c r="AC302" s="556">
        <f>AC267*AC277</f>
        <v>1377.625881</v>
      </c>
      <c r="AD302" s="537">
        <f>AC302*J280</f>
        <v>192.8676234</v>
      </c>
      <c r="AE302" s="319"/>
      <c r="AF302" s="319"/>
      <c r="AG302" s="540"/>
      <c r="AH302" s="541" t="s">
        <v>221</v>
      </c>
      <c r="AM302" s="501">
        <f>(AC302*0.3)+(S302*0.7)</f>
        <v>1368.635197</v>
      </c>
      <c r="AN302" s="537">
        <f>AM302*J280</f>
        <v>191.6089276</v>
      </c>
      <c r="AO302" s="319"/>
      <c r="AP302" s="319"/>
      <c r="AQ302" s="319"/>
    </row>
    <row r="303" ht="15.75" customHeight="1">
      <c r="A303" s="44"/>
      <c r="B303" s="44"/>
      <c r="C303" s="44"/>
      <c r="D303" s="44"/>
      <c r="E303" s="44"/>
      <c r="F303" s="44"/>
      <c r="G303" s="44"/>
      <c r="H303" s="44"/>
      <c r="I303" s="44"/>
      <c r="J303" s="44"/>
      <c r="K303" s="44"/>
      <c r="L303" s="44"/>
      <c r="M303" s="534"/>
      <c r="N303" s="558" t="s">
        <v>209</v>
      </c>
      <c r="O303" s="44"/>
      <c r="P303" s="44"/>
      <c r="Q303" s="44"/>
      <c r="R303" s="303"/>
      <c r="S303" s="559">
        <f>S302/J248-100%</f>
        <v>0.5539157986</v>
      </c>
      <c r="T303" s="543"/>
      <c r="U303" s="44"/>
      <c r="V303" s="319"/>
      <c r="W303" s="538"/>
      <c r="X303" s="560" t="s">
        <v>209</v>
      </c>
      <c r="Y303" s="319"/>
      <c r="Z303" s="319"/>
      <c r="AA303" s="319"/>
      <c r="AB303" s="319"/>
      <c r="AC303" s="559">
        <f>AC302/J248-100%</f>
        <v>0.5685395525</v>
      </c>
      <c r="AD303" s="544"/>
      <c r="AE303" s="319"/>
      <c r="AF303" s="319"/>
      <c r="AG303" s="540"/>
      <c r="AH303" s="319" t="s">
        <v>209</v>
      </c>
      <c r="AI303" s="319"/>
      <c r="AJ303" s="319"/>
      <c r="AK303" s="319"/>
      <c r="AL303" s="319"/>
      <c r="AM303" s="513">
        <f>AM302/J248-100%</f>
        <v>0.5583029248</v>
      </c>
      <c r="AN303" s="544"/>
      <c r="AO303" s="319"/>
      <c r="AP303" s="319"/>
      <c r="AQ303" s="319"/>
    </row>
    <row r="304" ht="15.75" customHeight="1">
      <c r="A304" s="44"/>
      <c r="B304" s="44"/>
      <c r="C304" s="44"/>
      <c r="D304" s="44"/>
      <c r="E304" s="44"/>
      <c r="F304" s="44"/>
      <c r="G304" s="44"/>
      <c r="H304" s="44"/>
      <c r="I304" s="44"/>
      <c r="J304" s="44"/>
      <c r="K304" s="44"/>
      <c r="L304" s="44"/>
      <c r="M304" s="534"/>
      <c r="N304" s="561" t="s">
        <v>210</v>
      </c>
      <c r="P304" s="507"/>
      <c r="Q304" s="519"/>
      <c r="R304" s="545"/>
      <c r="S304" s="562">
        <f>RRI(J268,J248,S302)</f>
        <v>0.09617710095</v>
      </c>
      <c r="T304" s="543"/>
      <c r="U304" s="44"/>
      <c r="V304" s="319"/>
      <c r="W304" s="538"/>
      <c r="X304" s="563" t="s">
        <v>210</v>
      </c>
      <c r="Z304" s="511"/>
      <c r="AA304" s="523"/>
      <c r="AB304" s="523"/>
      <c r="AC304" s="562">
        <f>RRI(J268,J248,AC302)</f>
        <v>0.09831831019</v>
      </c>
      <c r="AD304" s="544"/>
      <c r="AE304" s="319"/>
      <c r="AF304" s="319"/>
      <c r="AG304" s="540"/>
      <c r="AH304" s="547" t="s">
        <v>210</v>
      </c>
      <c r="AJ304" s="319"/>
      <c r="AK304" s="319"/>
      <c r="AL304" s="319"/>
      <c r="AM304" s="546">
        <f>RRI(J268,J248,AM302)</f>
        <v>0.09682113278</v>
      </c>
      <c r="AN304" s="544"/>
      <c r="AO304" s="319"/>
      <c r="AP304" s="319"/>
      <c r="AQ304" s="319"/>
    </row>
    <row r="305" ht="15.75" customHeight="1">
      <c r="A305" s="44"/>
      <c r="B305" s="44"/>
      <c r="C305" s="44"/>
      <c r="D305" s="44"/>
      <c r="E305" s="44"/>
      <c r="F305" s="44"/>
      <c r="G305" s="44"/>
      <c r="H305" s="44"/>
      <c r="I305" s="44"/>
      <c r="J305" s="44"/>
      <c r="K305" s="44"/>
      <c r="L305" s="44"/>
      <c r="M305" s="540"/>
      <c r="N305" s="564" t="s">
        <v>211</v>
      </c>
      <c r="O305" s="319"/>
      <c r="P305" s="319"/>
      <c r="Q305" s="319"/>
      <c r="R305" s="319"/>
      <c r="S305" s="559">
        <f>J257</f>
        <v>0.02065944243</v>
      </c>
      <c r="T305" s="544"/>
      <c r="U305" s="44"/>
      <c r="V305" s="319"/>
      <c r="W305" s="538"/>
      <c r="X305" s="560" t="s">
        <v>211</v>
      </c>
      <c r="Y305" s="319"/>
      <c r="Z305" s="319"/>
      <c r="AA305" s="319"/>
      <c r="AB305" s="319"/>
      <c r="AC305" s="559">
        <f>S305</f>
        <v>0.02065944243</v>
      </c>
      <c r="AD305" s="544"/>
      <c r="AE305" s="319"/>
      <c r="AF305" s="319"/>
      <c r="AG305" s="540"/>
      <c r="AH305" s="319" t="s">
        <v>211</v>
      </c>
      <c r="AI305" s="319"/>
      <c r="AJ305" s="319"/>
      <c r="AK305" s="319"/>
      <c r="AL305" s="319"/>
      <c r="AM305" s="513">
        <f>AC305</f>
        <v>0.02065944243</v>
      </c>
      <c r="AN305" s="544"/>
      <c r="AO305" s="319"/>
      <c r="AP305" s="319"/>
      <c r="AQ305" s="319"/>
    </row>
    <row r="306" ht="15.75" customHeight="1">
      <c r="A306" s="44"/>
      <c r="B306" s="44"/>
      <c r="C306" s="44"/>
      <c r="D306" s="44"/>
      <c r="E306" s="44"/>
      <c r="F306" s="44"/>
      <c r="G306" s="44"/>
      <c r="H306" s="44"/>
      <c r="I306" s="44"/>
      <c r="J306" s="44"/>
      <c r="K306" s="44"/>
      <c r="L306" s="44"/>
      <c r="M306" s="534"/>
      <c r="N306" s="565" t="s">
        <v>212</v>
      </c>
      <c r="O306" s="432"/>
      <c r="P306" s="432"/>
      <c r="Q306" s="432"/>
      <c r="R306" s="432"/>
      <c r="S306" s="566">
        <f>S304+S305</f>
        <v>0.1168365434</v>
      </c>
      <c r="T306" s="567"/>
      <c r="U306" s="44"/>
      <c r="V306" s="44"/>
      <c r="W306" s="534"/>
      <c r="X306" s="565" t="s">
        <v>212</v>
      </c>
      <c r="Y306" s="514"/>
      <c r="Z306" s="514"/>
      <c r="AA306" s="438"/>
      <c r="AB306" s="438"/>
      <c r="AC306" s="566">
        <f>AC304+AC305</f>
        <v>0.1189777526</v>
      </c>
      <c r="AD306" s="544"/>
      <c r="AE306" s="319"/>
      <c r="AF306" s="319"/>
      <c r="AG306" s="540"/>
      <c r="AH306" s="568" t="s">
        <v>212</v>
      </c>
      <c r="AI306" s="569"/>
      <c r="AJ306" s="569"/>
      <c r="AK306" s="569"/>
      <c r="AL306" s="569"/>
      <c r="AM306" s="570">
        <f>AM304+AM305</f>
        <v>0.1174805752</v>
      </c>
      <c r="AN306" s="544"/>
      <c r="AO306" s="319"/>
      <c r="AP306" s="319"/>
      <c r="AQ306" s="319"/>
    </row>
    <row r="307" ht="15.75" customHeight="1">
      <c r="A307" s="44"/>
      <c r="B307" s="44"/>
      <c r="C307" s="44"/>
      <c r="D307" s="44"/>
      <c r="E307" s="44"/>
      <c r="F307" s="44"/>
      <c r="G307" s="44"/>
      <c r="H307" s="44"/>
      <c r="I307" s="44"/>
      <c r="J307" s="44"/>
      <c r="K307" s="44"/>
      <c r="L307" s="44"/>
      <c r="M307" s="534"/>
      <c r="N307" s="558" t="s">
        <v>222</v>
      </c>
      <c r="Q307" s="303"/>
      <c r="R307" s="303"/>
      <c r="S307" s="571">
        <f>S302/J262-100%</f>
        <v>0.6849161076</v>
      </c>
      <c r="T307" s="543"/>
      <c r="U307" s="303"/>
      <c r="V307" s="44"/>
      <c r="W307" s="534"/>
      <c r="X307" s="564" t="s">
        <v>223</v>
      </c>
      <c r="AA307" s="319"/>
      <c r="AB307" s="319"/>
      <c r="AC307" s="571">
        <f>AC302/J262-100%</f>
        <v>0.7007726929</v>
      </c>
      <c r="AD307" s="544"/>
      <c r="AE307" s="319"/>
      <c r="AF307" s="319"/>
      <c r="AG307" s="540"/>
      <c r="AH307" s="319" t="s">
        <v>224</v>
      </c>
      <c r="AK307" s="319"/>
      <c r="AL307" s="319"/>
      <c r="AM307" s="551">
        <f>AM302/J262-100%</f>
        <v>0.6896730832</v>
      </c>
      <c r="AN307" s="544"/>
      <c r="AO307" s="319"/>
      <c r="AP307" s="319"/>
      <c r="AQ307" s="319"/>
    </row>
    <row r="308" ht="15.75" customHeight="1">
      <c r="A308" s="44"/>
      <c r="B308" s="44"/>
      <c r="C308" s="44"/>
      <c r="D308" s="44"/>
      <c r="E308" s="44"/>
      <c r="F308" s="44"/>
      <c r="G308" s="44"/>
      <c r="H308" s="44"/>
      <c r="I308" s="44"/>
      <c r="J308" s="44"/>
      <c r="K308" s="44"/>
      <c r="L308" s="44"/>
      <c r="M308" s="534"/>
      <c r="N308" s="572" t="s">
        <v>216</v>
      </c>
      <c r="P308" s="573"/>
      <c r="Q308" s="573"/>
      <c r="R308" s="573"/>
      <c r="S308" s="562">
        <f>RRI(J268,J262,S302)</f>
        <v>0.1148175803</v>
      </c>
      <c r="T308" s="574"/>
      <c r="U308" s="284"/>
      <c r="V308" s="284"/>
      <c r="W308" s="534"/>
      <c r="X308" s="575" t="s">
        <v>216</v>
      </c>
      <c r="Z308" s="545"/>
      <c r="AA308" s="523"/>
      <c r="AB308" s="523"/>
      <c r="AC308" s="562">
        <f>RRI(J268,J262,AC302)</f>
        <v>0.1169952008</v>
      </c>
      <c r="AD308" s="544"/>
      <c r="AE308" s="319"/>
      <c r="AF308" s="319"/>
      <c r="AG308" s="540"/>
      <c r="AH308" s="547" t="s">
        <v>216</v>
      </c>
      <c r="AJ308" s="319"/>
      <c r="AK308" s="319"/>
      <c r="AL308" s="319"/>
      <c r="AM308" s="546">
        <f>RRI(J268,J262,AM302)</f>
        <v>0.1154725639</v>
      </c>
      <c r="AN308" s="544"/>
      <c r="AO308" s="319"/>
      <c r="AP308" s="319"/>
      <c r="AQ308" s="319"/>
    </row>
    <row r="309" ht="15.75" customHeight="1">
      <c r="A309" s="44"/>
      <c r="B309" s="44"/>
      <c r="C309" s="44"/>
      <c r="D309" s="44"/>
      <c r="E309" s="44"/>
      <c r="F309" s="44"/>
      <c r="G309" s="44"/>
      <c r="H309" s="44"/>
      <c r="I309" s="44"/>
      <c r="J309" s="44"/>
      <c r="K309" s="44"/>
      <c r="L309" s="44"/>
      <c r="M309" s="534"/>
      <c r="N309" s="558" t="s">
        <v>211</v>
      </c>
      <c r="O309" s="284"/>
      <c r="P309" s="284"/>
      <c r="Q309" s="284"/>
      <c r="R309" s="284"/>
      <c r="S309" s="559">
        <f>J257</f>
        <v>0.02065944243</v>
      </c>
      <c r="T309" s="574"/>
      <c r="U309" s="284"/>
      <c r="V309" s="284"/>
      <c r="W309" s="534"/>
      <c r="X309" s="564" t="s">
        <v>211</v>
      </c>
      <c r="Y309" s="303"/>
      <c r="Z309" s="303"/>
      <c r="AA309" s="319"/>
      <c r="AB309" s="319"/>
      <c r="AC309" s="559">
        <f>S309</f>
        <v>0.02065944243</v>
      </c>
      <c r="AD309" s="544"/>
      <c r="AE309" s="319"/>
      <c r="AF309" s="319"/>
      <c r="AG309" s="540"/>
      <c r="AH309" s="319" t="s">
        <v>211</v>
      </c>
      <c r="AI309" s="319"/>
      <c r="AJ309" s="319"/>
      <c r="AK309" s="319"/>
      <c r="AL309" s="319"/>
      <c r="AM309" s="513">
        <f>AC309</f>
        <v>0.02065944243</v>
      </c>
      <c r="AN309" s="544"/>
      <c r="AO309" s="319"/>
      <c r="AP309" s="319"/>
      <c r="AQ309" s="319"/>
    </row>
    <row r="310" ht="15.75" customHeight="1">
      <c r="A310" s="44"/>
      <c r="B310" s="44"/>
      <c r="C310" s="44"/>
      <c r="D310" s="44"/>
      <c r="E310" s="44"/>
      <c r="F310" s="44"/>
      <c r="G310" s="44"/>
      <c r="H310" s="44"/>
      <c r="I310" s="44"/>
      <c r="J310" s="44"/>
      <c r="K310" s="44"/>
      <c r="L310" s="44"/>
      <c r="M310" s="534"/>
      <c r="N310" s="576" t="s">
        <v>212</v>
      </c>
      <c r="O310" s="577"/>
      <c r="P310" s="577"/>
      <c r="Q310" s="577"/>
      <c r="R310" s="577"/>
      <c r="S310" s="578">
        <f>S308+S309</f>
        <v>0.1354770227</v>
      </c>
      <c r="T310" s="574"/>
      <c r="U310" s="284"/>
      <c r="V310" s="284"/>
      <c r="W310" s="534"/>
      <c r="X310" s="579" t="s">
        <v>212</v>
      </c>
      <c r="Y310" s="580"/>
      <c r="Z310" s="580"/>
      <c r="AA310" s="441"/>
      <c r="AB310" s="441"/>
      <c r="AC310" s="578">
        <f>AC308+AC309</f>
        <v>0.1376546432</v>
      </c>
      <c r="AD310" s="544"/>
      <c r="AE310" s="319"/>
      <c r="AF310" s="319"/>
      <c r="AG310" s="540"/>
      <c r="AH310" s="548" t="s">
        <v>212</v>
      </c>
      <c r="AI310" s="549"/>
      <c r="AJ310" s="549"/>
      <c r="AK310" s="549"/>
      <c r="AL310" s="549"/>
      <c r="AM310" s="550">
        <f>AM308+AM309</f>
        <v>0.1361320063</v>
      </c>
      <c r="AN310" s="544"/>
      <c r="AO310" s="319"/>
      <c r="AP310" s="319"/>
      <c r="AQ310" s="319"/>
    </row>
    <row r="311" ht="15.75" customHeight="1">
      <c r="A311" s="44"/>
      <c r="B311" s="44"/>
      <c r="C311" s="44"/>
      <c r="D311" s="44"/>
      <c r="E311" s="44"/>
      <c r="F311" s="44"/>
      <c r="G311" s="44"/>
      <c r="H311" s="44"/>
      <c r="I311" s="44"/>
      <c r="J311" s="44"/>
      <c r="K311" s="44"/>
      <c r="L311" s="44"/>
      <c r="M311" s="581"/>
      <c r="N311" s="582"/>
      <c r="O311" s="583"/>
      <c r="P311" s="583"/>
      <c r="Q311" s="583"/>
      <c r="R311" s="583"/>
      <c r="S311" s="583"/>
      <c r="T311" s="584"/>
      <c r="U311" s="303"/>
      <c r="V311" s="44"/>
      <c r="W311" s="581"/>
      <c r="X311" s="585"/>
      <c r="Y311" s="583"/>
      <c r="Z311" s="583"/>
      <c r="AA311" s="585"/>
      <c r="AB311" s="585"/>
      <c r="AC311" s="585"/>
      <c r="AD311" s="586"/>
      <c r="AE311" s="319"/>
      <c r="AF311" s="319"/>
      <c r="AG311" s="587"/>
      <c r="AH311" s="585"/>
      <c r="AI311" s="585"/>
      <c r="AJ311" s="585"/>
      <c r="AK311" s="585"/>
      <c r="AL311" s="585"/>
      <c r="AM311" s="585"/>
      <c r="AN311" s="586"/>
      <c r="AO311" s="319"/>
      <c r="AP311" s="319"/>
      <c r="AQ311" s="319"/>
    </row>
    <row r="312" ht="15.75" customHeight="1">
      <c r="A312" s="44"/>
      <c r="B312" s="44"/>
      <c r="C312" s="44"/>
      <c r="D312" s="44"/>
      <c r="E312" s="44"/>
      <c r="F312" s="44"/>
      <c r="G312" s="44"/>
      <c r="H312" s="44"/>
      <c r="I312" s="44"/>
      <c r="J312" s="44"/>
      <c r="K312" s="44"/>
      <c r="L312" s="44"/>
      <c r="M312" s="44"/>
      <c r="N312" s="44"/>
      <c r="O312" s="44"/>
      <c r="P312" s="44"/>
      <c r="Q312" s="44"/>
      <c r="R312" s="44"/>
      <c r="S312" s="44"/>
      <c r="T312" s="44"/>
      <c r="U312" s="44"/>
      <c r="V312" s="44"/>
      <c r="W312" s="303"/>
      <c r="X312" s="303"/>
      <c r="Y312" s="319"/>
      <c r="Z312" s="319"/>
      <c r="AA312" s="319"/>
      <c r="AB312" s="319"/>
      <c r="AC312" s="319"/>
      <c r="AD312" s="319"/>
      <c r="AE312" s="319"/>
      <c r="AF312" s="319"/>
      <c r="AG312" s="319"/>
      <c r="AH312" s="319"/>
      <c r="AI312" s="319"/>
      <c r="AJ312" s="319"/>
      <c r="AK312" s="319"/>
      <c r="AL312" s="319"/>
      <c r="AM312" s="319"/>
      <c r="AN312" s="319"/>
      <c r="AO312" s="319"/>
      <c r="AP312" s="319"/>
      <c r="AQ312" s="319"/>
    </row>
    <row r="313" ht="15.75" customHeight="1">
      <c r="A313" s="44"/>
      <c r="B313" s="44"/>
      <c r="C313" s="44"/>
      <c r="D313" s="44"/>
      <c r="E313" s="44"/>
      <c r="F313" s="44"/>
      <c r="G313" s="44"/>
      <c r="H313" s="44"/>
      <c r="I313" s="44"/>
      <c r="J313" s="44"/>
      <c r="K313" s="44"/>
      <c r="L313" s="44"/>
      <c r="M313" s="44"/>
      <c r="N313" s="44"/>
      <c r="O313" s="44"/>
      <c r="P313" s="588" t="s">
        <v>225</v>
      </c>
      <c r="Q313" s="588" t="s">
        <v>226</v>
      </c>
      <c r="R313" s="588" t="s">
        <v>227</v>
      </c>
      <c r="S313" s="588" t="s">
        <v>228</v>
      </c>
      <c r="T313" s="588" t="s">
        <v>229</v>
      </c>
      <c r="U313" s="44"/>
      <c r="V313" s="44"/>
      <c r="W313" s="303"/>
      <c r="X313" s="303"/>
      <c r="Y313" s="319"/>
      <c r="Z313" s="589" t="s">
        <v>230</v>
      </c>
      <c r="AA313" s="589" t="s">
        <v>231</v>
      </c>
      <c r="AB313" s="589" t="s">
        <v>232</v>
      </c>
      <c r="AC313" s="589" t="s">
        <v>233</v>
      </c>
      <c r="AD313" s="589" t="s">
        <v>234</v>
      </c>
      <c r="AE313" s="319"/>
      <c r="AF313" s="319"/>
      <c r="AG313" s="319"/>
      <c r="AH313" s="319"/>
      <c r="AI313" s="319"/>
      <c r="AJ313" s="589" t="s">
        <v>235</v>
      </c>
      <c r="AK313" s="589" t="s">
        <v>236</v>
      </c>
      <c r="AL313" s="589" t="s">
        <v>237</v>
      </c>
      <c r="AM313" s="589" t="s">
        <v>238</v>
      </c>
      <c r="AN313" s="589" t="s">
        <v>239</v>
      </c>
      <c r="AO313" s="319"/>
      <c r="AP313" s="319"/>
      <c r="AQ313" s="319"/>
    </row>
    <row r="314" ht="15.75" customHeight="1">
      <c r="A314" s="44"/>
      <c r="B314" s="44"/>
      <c r="C314" s="44"/>
      <c r="D314" s="44"/>
      <c r="E314" s="44"/>
      <c r="F314" s="44"/>
      <c r="G314" s="44"/>
      <c r="H314" s="44"/>
      <c r="I314" s="44"/>
      <c r="J314" s="44"/>
      <c r="K314" s="44"/>
      <c r="L314" s="44"/>
      <c r="M314" s="44"/>
      <c r="N314" s="590" t="s">
        <v>240</v>
      </c>
      <c r="P314" s="591">
        <f t="shared" ref="P314:T314" si="200">Q131</f>
        <v>0.1249267833</v>
      </c>
      <c r="Q314" s="591">
        <f t="shared" si="200"/>
        <v>0.1365058795</v>
      </c>
      <c r="R314" s="591">
        <f t="shared" si="200"/>
        <v>0.1469003799</v>
      </c>
      <c r="S314" s="591">
        <f t="shared" si="200"/>
        <v>0.1565727308</v>
      </c>
      <c r="T314" s="591">
        <f t="shared" si="200"/>
        <v>0.1652485999</v>
      </c>
      <c r="U314" s="44"/>
      <c r="V314" s="44"/>
      <c r="W314" s="303"/>
      <c r="X314" s="592" t="s">
        <v>241</v>
      </c>
      <c r="Z314" s="591">
        <f t="shared" ref="Z314:AD314" si="201">Q126</f>
        <v>0.1513563557</v>
      </c>
      <c r="AA314" s="591">
        <f t="shared" si="201"/>
        <v>0.1714240111</v>
      </c>
      <c r="AB314" s="591">
        <f t="shared" si="201"/>
        <v>0.1937167438</v>
      </c>
      <c r="AC314" s="591">
        <f t="shared" si="201"/>
        <v>0.2195586092</v>
      </c>
      <c r="AD314" s="591">
        <f t="shared" si="201"/>
        <v>0.2497245893</v>
      </c>
      <c r="AE314" s="319"/>
      <c r="AF314" s="319"/>
      <c r="AG314" s="319"/>
      <c r="AH314" s="593" t="s">
        <v>174</v>
      </c>
      <c r="AJ314" s="594">
        <f>L241</f>
        <v>10.5516748</v>
      </c>
      <c r="AK314" s="594">
        <f t="shared" ref="AK314:AN314" si="202">AJ314</f>
        <v>10.5516748</v>
      </c>
      <c r="AL314" s="594">
        <f t="shared" si="202"/>
        <v>10.5516748</v>
      </c>
      <c r="AM314" s="594">
        <f t="shared" si="202"/>
        <v>10.5516748</v>
      </c>
      <c r="AN314" s="594">
        <f t="shared" si="202"/>
        <v>10.5516748</v>
      </c>
      <c r="AO314" s="319"/>
      <c r="AP314" s="319"/>
      <c r="AQ314" s="319"/>
    </row>
    <row r="315" ht="15.75" customHeight="1">
      <c r="A315" s="595"/>
      <c r="B315" s="595"/>
      <c r="C315" s="595"/>
      <c r="D315" s="595"/>
      <c r="E315" s="595"/>
      <c r="F315" s="595"/>
      <c r="G315" s="595"/>
      <c r="H315" s="595"/>
      <c r="I315" s="595"/>
      <c r="J315" s="595"/>
      <c r="K315" s="595"/>
      <c r="L315" s="595"/>
      <c r="M315" s="595"/>
      <c r="N315" s="596" t="s">
        <v>242</v>
      </c>
      <c r="P315" s="597">
        <f>Q132*S275</f>
        <v>1267.823313</v>
      </c>
      <c r="Q315" s="597">
        <f>R132*S275</f>
        <v>1383.147907</v>
      </c>
      <c r="R315" s="597">
        <f>S132*S275</f>
        <v>1461.331835</v>
      </c>
      <c r="S315" s="597">
        <f>T132*S275</f>
        <v>1581.130109</v>
      </c>
      <c r="T315" s="597">
        <f>U132*S275</f>
        <v>1705.977559</v>
      </c>
      <c r="U315" s="595"/>
      <c r="V315" s="595"/>
      <c r="W315" s="595"/>
      <c r="X315" s="596" t="s">
        <v>243</v>
      </c>
      <c r="Z315" s="597">
        <f>Q129*AC275</f>
        <v>1704.620495</v>
      </c>
      <c r="AA315" s="597">
        <f>R129*AC275</f>
        <v>1726.434321</v>
      </c>
      <c r="AB315" s="597">
        <f>S129*AC275</f>
        <v>1736.236372</v>
      </c>
      <c r="AC315" s="597">
        <f>T129*AC275</f>
        <v>1734.645674</v>
      </c>
      <c r="AD315" s="597">
        <f>U129*AC275</f>
        <v>1722.032352</v>
      </c>
      <c r="AE315" s="595"/>
      <c r="AF315" s="595"/>
      <c r="AG315" s="595"/>
      <c r="AH315" s="596" t="s">
        <v>243</v>
      </c>
      <c r="AJ315" s="597">
        <f t="shared" ref="AJ315:AN315" si="203">(Z315*0.3)+(P315*0.7)</f>
        <v>1398.862467</v>
      </c>
      <c r="AK315" s="597">
        <f t="shared" si="203"/>
        <v>1486.133831</v>
      </c>
      <c r="AL315" s="597">
        <f t="shared" si="203"/>
        <v>1543.803196</v>
      </c>
      <c r="AM315" s="597">
        <f t="shared" si="203"/>
        <v>1627.184778</v>
      </c>
      <c r="AN315" s="597">
        <f t="shared" si="203"/>
        <v>1710.793997</v>
      </c>
      <c r="AO315" s="595"/>
      <c r="AP315" s="595"/>
      <c r="AQ315" s="595"/>
    </row>
    <row r="316" ht="15.75" customHeight="1">
      <c r="A316" s="595"/>
      <c r="B316" s="595"/>
      <c r="C316" s="595"/>
      <c r="D316" s="595"/>
      <c r="E316" s="595"/>
      <c r="F316" s="595"/>
      <c r="G316" s="595"/>
      <c r="H316" s="595"/>
      <c r="I316" s="595"/>
      <c r="J316" s="595"/>
      <c r="K316" s="595"/>
      <c r="L316" s="595"/>
      <c r="M316" s="595"/>
      <c r="N316" s="596" t="s">
        <v>244</v>
      </c>
      <c r="P316" s="597">
        <f>Q132*S276</f>
        <v>1077.649816</v>
      </c>
      <c r="Q316" s="597">
        <f>R132*S276</f>
        <v>1175.675721</v>
      </c>
      <c r="R316" s="597">
        <f>S132*S276</f>
        <v>1242.13206</v>
      </c>
      <c r="S316" s="597">
        <f>T132*S276</f>
        <v>1343.960592</v>
      </c>
      <c r="T316" s="597">
        <f>U132*S276</f>
        <v>1450.080925</v>
      </c>
      <c r="U316" s="595"/>
      <c r="V316" s="595"/>
      <c r="W316" s="595"/>
      <c r="X316" s="596" t="s">
        <v>245</v>
      </c>
      <c r="Z316" s="597">
        <f>Q129*AC276</f>
        <v>1448.927421</v>
      </c>
      <c r="AA316" s="597">
        <f>R129*AC276</f>
        <v>1467.469173</v>
      </c>
      <c r="AB316" s="597">
        <f>S129*AC276</f>
        <v>1475.800916</v>
      </c>
      <c r="AC316" s="597">
        <f>T129*AC276</f>
        <v>1474.448823</v>
      </c>
      <c r="AD316" s="597">
        <f>U129*AC276</f>
        <v>1463.727499</v>
      </c>
      <c r="AE316" s="595"/>
      <c r="AF316" s="595"/>
      <c r="AG316" s="595"/>
      <c r="AH316" s="596" t="s">
        <v>245</v>
      </c>
      <c r="AJ316" s="597">
        <f t="shared" ref="AJ316:AN316" si="204">(Z316*0.3)+(P316*0.7)</f>
        <v>1189.033097</v>
      </c>
      <c r="AK316" s="597">
        <f t="shared" si="204"/>
        <v>1263.213757</v>
      </c>
      <c r="AL316" s="597">
        <f t="shared" si="204"/>
        <v>1312.232717</v>
      </c>
      <c r="AM316" s="597">
        <f t="shared" si="204"/>
        <v>1383.107062</v>
      </c>
      <c r="AN316" s="597">
        <f t="shared" si="204"/>
        <v>1454.174897</v>
      </c>
      <c r="AO316" s="595"/>
      <c r="AP316" s="595"/>
      <c r="AQ316" s="595"/>
    </row>
    <row r="317" ht="15.75" customHeight="1">
      <c r="A317" s="595"/>
      <c r="B317" s="595"/>
      <c r="C317" s="595"/>
      <c r="D317" s="595"/>
      <c r="E317" s="595"/>
      <c r="F317" s="595"/>
      <c r="G317" s="595"/>
      <c r="H317" s="595"/>
      <c r="I317" s="595"/>
      <c r="J317" s="595"/>
      <c r="K317" s="595"/>
      <c r="L317" s="595"/>
      <c r="M317" s="595"/>
      <c r="N317" s="596" t="s">
        <v>246</v>
      </c>
      <c r="P317" s="598">
        <f>Q132*S277</f>
        <v>1014.25865</v>
      </c>
      <c r="Q317" s="598">
        <f>R132*S277</f>
        <v>1106.518326</v>
      </c>
      <c r="R317" s="598">
        <f>S132*S277</f>
        <v>1169.065468</v>
      </c>
      <c r="S317" s="598">
        <f>T132*S277</f>
        <v>1264.904087</v>
      </c>
      <c r="T317" s="598">
        <f>U132*S277</f>
        <v>1364.782047</v>
      </c>
      <c r="U317" s="595"/>
      <c r="V317" s="595"/>
      <c r="W317" s="595"/>
      <c r="X317" s="596" t="s">
        <v>247</v>
      </c>
      <c r="Z317" s="598">
        <f>Q129*AC277</f>
        <v>1363.696396</v>
      </c>
      <c r="AA317" s="598">
        <f>R129*AC277</f>
        <v>1381.147457</v>
      </c>
      <c r="AB317" s="598">
        <f>S129*AC277</f>
        <v>1388.989098</v>
      </c>
      <c r="AC317" s="598">
        <f>T129*AC277</f>
        <v>1387.716539</v>
      </c>
      <c r="AD317" s="598">
        <f>U129*AC277</f>
        <v>1377.625881</v>
      </c>
      <c r="AE317" s="595"/>
      <c r="AF317" s="595"/>
      <c r="AG317" s="595"/>
      <c r="AH317" s="596" t="s">
        <v>247</v>
      </c>
      <c r="AJ317" s="597">
        <f t="shared" ref="AJ317:AN317" si="205">(Z317*0.3)+(P317*0.7)</f>
        <v>1119.089974</v>
      </c>
      <c r="AK317" s="597">
        <f t="shared" si="205"/>
        <v>1188.907065</v>
      </c>
      <c r="AL317" s="597">
        <f t="shared" si="205"/>
        <v>1235.042557</v>
      </c>
      <c r="AM317" s="597">
        <f t="shared" si="205"/>
        <v>1301.747823</v>
      </c>
      <c r="AN317" s="597">
        <f t="shared" si="205"/>
        <v>1368.635197</v>
      </c>
      <c r="AO317" s="595"/>
      <c r="AP317" s="595"/>
      <c r="AQ317" s="595"/>
    </row>
    <row r="318" ht="15.75" customHeight="1">
      <c r="A318" s="44"/>
      <c r="B318" s="44"/>
      <c r="C318" s="44"/>
      <c r="D318" s="44"/>
      <c r="E318" s="44"/>
      <c r="F318" s="44"/>
      <c r="G318" s="44"/>
      <c r="H318" s="44"/>
      <c r="I318" s="44"/>
      <c r="J318" s="44"/>
      <c r="K318" s="44"/>
      <c r="L318" s="44"/>
      <c r="M318" s="44"/>
      <c r="N318" s="599" t="s">
        <v>248</v>
      </c>
      <c r="P318" s="600">
        <f>Q82/J248</f>
        <v>0.0154158486</v>
      </c>
      <c r="Q318" s="600">
        <f>R82/J248</f>
        <v>0.01778135942</v>
      </c>
      <c r="R318" s="600">
        <f>S82/J248</f>
        <v>0.02035965619</v>
      </c>
      <c r="S318" s="600">
        <f>T82/J248</f>
        <v>0.02324854053</v>
      </c>
      <c r="T318" s="600">
        <f>U82/J248</f>
        <v>0.02649180742</v>
      </c>
      <c r="U318" s="44"/>
      <c r="V318" s="319"/>
      <c r="W318" s="303"/>
      <c r="X318" s="601" t="s">
        <v>249</v>
      </c>
      <c r="Z318" s="600">
        <f t="shared" ref="Z318:AD318" si="206">P318</f>
        <v>0.0154158486</v>
      </c>
      <c r="AA318" s="600">
        <f t="shared" si="206"/>
        <v>0.01778135942</v>
      </c>
      <c r="AB318" s="600">
        <f t="shared" si="206"/>
        <v>0.02035965619</v>
      </c>
      <c r="AC318" s="600">
        <f t="shared" si="206"/>
        <v>0.02324854053</v>
      </c>
      <c r="AD318" s="600">
        <f t="shared" si="206"/>
        <v>0.02649180742</v>
      </c>
      <c r="AE318" s="319"/>
      <c r="AF318" s="319"/>
      <c r="AG318" s="319"/>
      <c r="AH318" s="602" t="s">
        <v>249</v>
      </c>
      <c r="AJ318" s="600">
        <f t="shared" ref="AJ318:AN318" si="207">Z318</f>
        <v>0.0154158486</v>
      </c>
      <c r="AK318" s="600">
        <f t="shared" si="207"/>
        <v>0.01778135942</v>
      </c>
      <c r="AL318" s="600">
        <f t="shared" si="207"/>
        <v>0.02035965619</v>
      </c>
      <c r="AM318" s="600">
        <f t="shared" si="207"/>
        <v>0.02324854053</v>
      </c>
      <c r="AN318" s="600">
        <f t="shared" si="207"/>
        <v>0.02649180742</v>
      </c>
      <c r="AO318" s="319"/>
      <c r="AP318" s="319"/>
      <c r="AQ318" s="319"/>
    </row>
    <row r="319" ht="15.75" customHeight="1">
      <c r="A319" s="44"/>
      <c r="B319" s="44"/>
      <c r="C319" s="44"/>
      <c r="D319" s="44"/>
      <c r="E319" s="44"/>
      <c r="F319" s="44"/>
      <c r="G319" s="44"/>
      <c r="H319" s="44"/>
      <c r="I319" s="44"/>
      <c r="J319" s="44"/>
      <c r="K319" s="44"/>
      <c r="L319" s="44"/>
      <c r="M319" s="44"/>
      <c r="N319" s="44"/>
      <c r="O319" s="44"/>
      <c r="P319" s="44"/>
      <c r="Q319" s="44"/>
      <c r="R319" s="44"/>
      <c r="S319" s="44"/>
      <c r="T319" s="44"/>
      <c r="U319" s="44"/>
      <c r="V319" s="319"/>
      <c r="W319" s="303"/>
      <c r="X319" s="303"/>
      <c r="Y319" s="319"/>
      <c r="Z319" s="319"/>
      <c r="AA319" s="319"/>
      <c r="AB319" s="319"/>
      <c r="AC319" s="319"/>
      <c r="AD319" s="319"/>
      <c r="AE319" s="319"/>
      <c r="AF319" s="319"/>
      <c r="AG319" s="319"/>
      <c r="AH319" s="319"/>
      <c r="AI319" s="319"/>
      <c r="AJ319" s="319"/>
      <c r="AK319" s="319"/>
      <c r="AL319" s="319"/>
      <c r="AM319" s="319"/>
      <c r="AN319" s="319"/>
      <c r="AO319" s="319"/>
      <c r="AP319" s="319"/>
      <c r="AQ319" s="319"/>
    </row>
    <row r="320" ht="15.75" customHeight="1">
      <c r="A320" s="44"/>
      <c r="B320" s="44"/>
      <c r="C320" s="44"/>
      <c r="D320" s="44"/>
      <c r="E320" s="44"/>
      <c r="F320" s="44"/>
      <c r="G320" s="44"/>
      <c r="H320" s="44"/>
      <c r="I320" s="44"/>
      <c r="J320" s="44"/>
      <c r="K320" s="44"/>
      <c r="L320" s="44"/>
      <c r="M320" s="44"/>
      <c r="N320" s="603" t="s">
        <v>250</v>
      </c>
      <c r="U320" s="44"/>
      <c r="V320" s="319"/>
      <c r="W320" s="303"/>
      <c r="X320" s="604" t="s">
        <v>250</v>
      </c>
      <c r="AE320" s="319"/>
      <c r="AF320" s="319"/>
      <c r="AG320" s="319"/>
      <c r="AH320" s="605" t="s">
        <v>250</v>
      </c>
      <c r="AO320" s="319"/>
      <c r="AP320" s="319"/>
      <c r="AQ320" s="319"/>
    </row>
    <row r="321" ht="15.75" customHeight="1">
      <c r="A321" s="44"/>
      <c r="B321" s="44"/>
      <c r="C321" s="44"/>
      <c r="D321" s="44"/>
      <c r="E321" s="44"/>
      <c r="F321" s="44"/>
      <c r="G321" s="44"/>
      <c r="H321" s="44"/>
      <c r="I321" s="44"/>
      <c r="J321" s="44"/>
      <c r="K321" s="44"/>
      <c r="L321" s="44"/>
      <c r="M321" s="44"/>
      <c r="U321" s="44"/>
      <c r="V321" s="319"/>
      <c r="W321" s="303"/>
      <c r="AE321" s="319"/>
      <c r="AF321" s="319"/>
      <c r="AG321" s="319"/>
      <c r="AO321" s="319"/>
      <c r="AP321" s="319"/>
      <c r="AQ321" s="319"/>
    </row>
    <row r="322" ht="15.75" customHeight="1">
      <c r="A322" s="44"/>
      <c r="B322" s="44"/>
      <c r="C322" s="44"/>
      <c r="D322" s="44"/>
      <c r="E322" s="44"/>
      <c r="F322" s="44"/>
      <c r="G322" s="44"/>
      <c r="H322" s="44"/>
      <c r="I322" s="44"/>
      <c r="J322" s="44"/>
      <c r="K322" s="44"/>
      <c r="L322" s="44"/>
      <c r="M322" s="44"/>
      <c r="U322" s="44"/>
      <c r="V322" s="319"/>
      <c r="W322" s="303"/>
      <c r="AE322" s="319"/>
      <c r="AF322" s="319"/>
      <c r="AG322" s="319"/>
      <c r="AO322" s="319"/>
      <c r="AP322" s="319"/>
      <c r="AQ322" s="319"/>
    </row>
    <row r="323" ht="15.75" customHeight="1">
      <c r="A323" s="44"/>
      <c r="B323" s="44"/>
      <c r="C323" s="44"/>
      <c r="D323" s="44"/>
      <c r="E323" s="44"/>
      <c r="F323" s="44"/>
      <c r="G323" s="44"/>
      <c r="H323" s="44"/>
      <c r="I323" s="44"/>
      <c r="J323" s="44"/>
      <c r="K323" s="44"/>
      <c r="L323" s="44"/>
      <c r="M323" s="44"/>
      <c r="N323" s="44"/>
      <c r="O323" s="44"/>
      <c r="P323" s="44"/>
      <c r="Q323" s="44"/>
      <c r="R323" s="44"/>
      <c r="S323" s="44"/>
      <c r="T323" s="44"/>
      <c r="U323" s="44"/>
      <c r="V323" s="319"/>
      <c r="W323" s="303"/>
      <c r="X323" s="303"/>
      <c r="Y323" s="319"/>
      <c r="Z323" s="319"/>
      <c r="AA323" s="319"/>
      <c r="AB323" s="319"/>
      <c r="AC323" s="319"/>
      <c r="AD323" s="319"/>
      <c r="AE323" s="319"/>
      <c r="AF323" s="319"/>
      <c r="AG323" s="319"/>
      <c r="AH323" s="319"/>
      <c r="AI323" s="319"/>
      <c r="AJ323" s="319"/>
      <c r="AK323" s="319"/>
      <c r="AL323" s="319"/>
      <c r="AM323" s="319"/>
      <c r="AN323" s="319"/>
      <c r="AO323" s="319"/>
      <c r="AP323" s="319"/>
      <c r="AQ323" s="319"/>
    </row>
    <row r="324" ht="15.75" customHeight="1">
      <c r="A324" s="44"/>
      <c r="B324" s="44"/>
      <c r="C324" s="44"/>
      <c r="D324" s="44"/>
      <c r="E324" s="44"/>
      <c r="F324" s="44"/>
      <c r="G324" s="44"/>
      <c r="H324" s="44"/>
      <c r="I324" s="44"/>
      <c r="J324" s="44"/>
      <c r="K324" s="44"/>
      <c r="L324" s="44"/>
      <c r="M324" s="44"/>
      <c r="N324" s="44"/>
      <c r="O324" s="44"/>
      <c r="P324" s="44"/>
      <c r="Q324" s="44"/>
      <c r="R324" s="44"/>
      <c r="S324" s="44"/>
      <c r="T324" s="44"/>
      <c r="U324" s="44"/>
      <c r="V324" s="319"/>
      <c r="W324" s="303"/>
      <c r="X324" s="303"/>
      <c r="Y324" s="319"/>
      <c r="Z324" s="319"/>
      <c r="AA324" s="319"/>
      <c r="AB324" s="319"/>
      <c r="AC324" s="319"/>
      <c r="AD324" s="319"/>
      <c r="AE324" s="319"/>
      <c r="AF324" s="319"/>
      <c r="AG324" s="319"/>
      <c r="AH324" s="319"/>
      <c r="AI324" s="319"/>
      <c r="AJ324" s="319"/>
      <c r="AK324" s="319"/>
      <c r="AL324" s="319"/>
      <c r="AM324" s="319"/>
      <c r="AN324" s="319"/>
      <c r="AO324" s="319"/>
      <c r="AP324" s="319"/>
      <c r="AQ324" s="319"/>
    </row>
    <row r="325" ht="15.75" customHeight="1">
      <c r="A325" s="15"/>
      <c r="B325" s="15"/>
      <c r="C325" s="15"/>
      <c r="D325" s="37"/>
      <c r="E325" s="37"/>
      <c r="F325" s="37"/>
      <c r="G325" s="37"/>
      <c r="H325" s="37"/>
      <c r="I325" s="37"/>
      <c r="J325" s="37"/>
      <c r="K325" s="37"/>
      <c r="L325" s="37"/>
      <c r="M325" s="37"/>
      <c r="N325" s="37"/>
      <c r="O325" s="37"/>
      <c r="P325" s="37"/>
      <c r="Q325" s="37"/>
      <c r="R325" s="37"/>
      <c r="S325" s="37"/>
      <c r="T325" s="37"/>
      <c r="U325" s="37"/>
      <c r="W325" s="10"/>
      <c r="X325" s="10"/>
    </row>
    <row r="326" ht="15.75" customHeight="1">
      <c r="A326" s="15"/>
      <c r="B326" s="15"/>
      <c r="C326" s="15"/>
      <c r="D326" s="37"/>
      <c r="E326" s="37"/>
      <c r="F326" s="37"/>
      <c r="G326" s="37"/>
      <c r="H326" s="37"/>
      <c r="I326" s="37"/>
      <c r="J326" s="37"/>
      <c r="K326" s="37"/>
      <c r="L326" s="37"/>
      <c r="M326" s="37"/>
      <c r="N326" s="37"/>
      <c r="O326" s="37"/>
      <c r="P326" s="37"/>
      <c r="Q326" s="37"/>
      <c r="R326" s="37"/>
      <c r="S326" s="37"/>
      <c r="T326" s="37"/>
      <c r="U326" s="37"/>
      <c r="W326" s="10"/>
      <c r="X326" s="10"/>
    </row>
    <row r="327" ht="15.75" customHeight="1">
      <c r="A327" s="15"/>
      <c r="B327" s="15"/>
      <c r="C327" s="15"/>
      <c r="D327" s="37"/>
      <c r="E327" s="37"/>
      <c r="F327" s="37"/>
      <c r="G327" s="37"/>
      <c r="H327" s="37"/>
      <c r="I327" s="37"/>
      <c r="J327" s="37"/>
      <c r="K327" s="37"/>
      <c r="L327" s="37"/>
      <c r="M327" s="37"/>
      <c r="N327" s="37"/>
      <c r="O327" s="37"/>
      <c r="P327" s="37"/>
      <c r="Q327" s="37"/>
      <c r="R327" s="37"/>
      <c r="S327" s="37"/>
      <c r="T327" s="37"/>
      <c r="U327" s="37"/>
      <c r="W327" s="10"/>
      <c r="X327" s="10"/>
    </row>
    <row r="328" ht="15.75" customHeight="1">
      <c r="A328" s="15"/>
      <c r="B328" s="15"/>
      <c r="C328" s="15"/>
      <c r="D328" s="37"/>
      <c r="E328" s="37"/>
      <c r="F328" s="37"/>
      <c r="G328" s="37"/>
      <c r="H328" s="37"/>
      <c r="I328" s="37"/>
      <c r="J328" s="37"/>
      <c r="K328" s="37"/>
      <c r="L328" s="37"/>
      <c r="M328" s="37"/>
      <c r="N328" s="37"/>
      <c r="O328" s="37"/>
      <c r="P328" s="37"/>
      <c r="Q328" s="37"/>
      <c r="R328" s="37"/>
      <c r="S328" s="37"/>
      <c r="T328" s="37"/>
      <c r="U328" s="37"/>
      <c r="W328" s="10"/>
      <c r="X328" s="10"/>
    </row>
    <row r="329" ht="15.75" customHeight="1">
      <c r="A329" s="15"/>
      <c r="B329" s="15"/>
      <c r="C329" s="15"/>
      <c r="D329" s="37"/>
      <c r="E329" s="37"/>
      <c r="F329" s="37"/>
      <c r="G329" s="37"/>
      <c r="H329" s="37"/>
      <c r="I329" s="37"/>
      <c r="J329" s="37"/>
      <c r="K329" s="37"/>
      <c r="L329" s="37"/>
      <c r="M329" s="37"/>
      <c r="N329" s="37"/>
      <c r="O329" s="37"/>
      <c r="P329" s="37"/>
      <c r="Q329" s="37"/>
      <c r="R329" s="37"/>
      <c r="S329" s="37"/>
      <c r="T329" s="37"/>
      <c r="U329" s="37"/>
      <c r="W329" s="10"/>
      <c r="X329" s="10"/>
    </row>
    <row r="330" ht="15.75" customHeight="1">
      <c r="A330" s="15"/>
      <c r="B330" s="15"/>
      <c r="C330" s="15"/>
      <c r="D330" s="37"/>
      <c r="E330" s="37"/>
      <c r="F330" s="37"/>
      <c r="G330" s="37"/>
      <c r="H330" s="37"/>
      <c r="I330" s="37"/>
      <c r="J330" s="37"/>
      <c r="K330" s="37"/>
      <c r="L330" s="37"/>
      <c r="M330" s="37"/>
      <c r="N330" s="37"/>
      <c r="O330" s="37"/>
      <c r="P330" s="37"/>
      <c r="Q330" s="37"/>
      <c r="R330" s="37"/>
      <c r="S330" s="37"/>
      <c r="T330" s="37"/>
      <c r="U330" s="37"/>
      <c r="W330" s="10"/>
      <c r="X330" s="10"/>
    </row>
    <row r="331" ht="15.75" customHeight="1">
      <c r="A331" s="15"/>
      <c r="B331" s="15"/>
      <c r="C331" s="15"/>
      <c r="D331" s="37"/>
      <c r="E331" s="37"/>
      <c r="F331" s="37"/>
      <c r="G331" s="37"/>
      <c r="H331" s="37"/>
      <c r="I331" s="37"/>
      <c r="J331" s="37"/>
      <c r="K331" s="37"/>
      <c r="L331" s="37"/>
      <c r="M331" s="37"/>
      <c r="N331" s="37"/>
      <c r="O331" s="37"/>
      <c r="P331" s="37"/>
      <c r="Q331" s="37"/>
      <c r="R331" s="37"/>
      <c r="S331" s="37"/>
      <c r="T331" s="37"/>
      <c r="U331" s="37"/>
      <c r="W331" s="10"/>
      <c r="X331" s="10"/>
    </row>
    <row r="332" ht="15.75" customHeight="1">
      <c r="A332" s="15"/>
      <c r="B332" s="15"/>
      <c r="C332" s="15"/>
      <c r="D332" s="37"/>
      <c r="E332" s="37"/>
      <c r="F332" s="37"/>
      <c r="G332" s="37"/>
      <c r="H332" s="37"/>
      <c r="I332" s="37"/>
      <c r="J332" s="37"/>
      <c r="K332" s="37"/>
      <c r="L332" s="37"/>
      <c r="M332" s="37"/>
      <c r="N332" s="37"/>
      <c r="O332" s="37"/>
      <c r="P332" s="37"/>
      <c r="Q332" s="37"/>
      <c r="R332" s="37"/>
      <c r="S332" s="37"/>
      <c r="T332" s="37"/>
      <c r="U332" s="37"/>
      <c r="W332" s="10"/>
      <c r="X332" s="10"/>
    </row>
    <row r="333" ht="15.75" customHeight="1">
      <c r="A333" s="15"/>
      <c r="B333" s="15"/>
      <c r="C333" s="15"/>
      <c r="D333" s="37"/>
      <c r="E333" s="37"/>
      <c r="F333" s="37"/>
      <c r="G333" s="37"/>
      <c r="H333" s="37"/>
      <c r="I333" s="37"/>
      <c r="J333" s="37"/>
      <c r="K333" s="37"/>
      <c r="L333" s="37"/>
      <c r="M333" s="37"/>
      <c r="N333" s="37"/>
      <c r="O333" s="37"/>
      <c r="P333" s="37"/>
      <c r="Q333" s="37"/>
      <c r="R333" s="37"/>
      <c r="S333" s="37"/>
      <c r="T333" s="37"/>
      <c r="U333" s="37"/>
      <c r="W333" s="10"/>
      <c r="X333" s="10"/>
    </row>
    <row r="334" ht="15.75" customHeight="1">
      <c r="A334" s="15"/>
      <c r="B334" s="15"/>
      <c r="C334" s="15"/>
      <c r="D334" s="37"/>
      <c r="E334" s="37"/>
      <c r="F334" s="37"/>
      <c r="G334" s="37"/>
      <c r="H334" s="37"/>
      <c r="I334" s="37"/>
      <c r="J334" s="37"/>
      <c r="K334" s="37"/>
      <c r="L334" s="37"/>
      <c r="M334" s="37"/>
      <c r="N334" s="37"/>
      <c r="O334" s="37"/>
      <c r="P334" s="37"/>
      <c r="Q334" s="37"/>
      <c r="R334" s="37"/>
      <c r="S334" s="37"/>
      <c r="T334" s="37"/>
      <c r="U334" s="37"/>
      <c r="W334" s="10"/>
      <c r="X334" s="10"/>
    </row>
    <row r="335" ht="15.75" customHeight="1">
      <c r="A335" s="15"/>
      <c r="B335" s="15"/>
      <c r="C335" s="15"/>
      <c r="D335" s="37"/>
      <c r="E335" s="37"/>
      <c r="F335" s="37"/>
      <c r="G335" s="37"/>
      <c r="H335" s="37"/>
      <c r="I335" s="37"/>
      <c r="J335" s="37"/>
      <c r="K335" s="37"/>
      <c r="L335" s="37"/>
      <c r="M335" s="37"/>
      <c r="N335" s="37"/>
      <c r="O335" s="37"/>
      <c r="P335" s="37"/>
      <c r="Q335" s="37"/>
      <c r="R335" s="37"/>
      <c r="S335" s="37"/>
      <c r="T335" s="37"/>
      <c r="U335" s="37"/>
      <c r="W335" s="10"/>
      <c r="X335" s="10"/>
    </row>
    <row r="336" ht="15.75" customHeight="1">
      <c r="A336" s="15"/>
      <c r="B336" s="15"/>
      <c r="C336" s="15"/>
      <c r="D336" s="37"/>
      <c r="E336" s="37"/>
      <c r="F336" s="37"/>
      <c r="G336" s="37"/>
      <c r="H336" s="37"/>
      <c r="I336" s="37"/>
      <c r="J336" s="37"/>
      <c r="K336" s="37"/>
      <c r="L336" s="37"/>
      <c r="M336" s="37"/>
      <c r="N336" s="37"/>
      <c r="O336" s="37"/>
      <c r="P336" s="37"/>
      <c r="Q336" s="37"/>
      <c r="R336" s="37"/>
      <c r="S336" s="37"/>
      <c r="T336" s="37"/>
      <c r="U336" s="37"/>
      <c r="W336" s="10"/>
      <c r="X336" s="10"/>
    </row>
    <row r="337" ht="15.75" customHeight="1">
      <c r="A337" s="15"/>
      <c r="B337" s="15"/>
      <c r="C337" s="15"/>
      <c r="D337" s="37"/>
      <c r="E337" s="37"/>
      <c r="F337" s="37"/>
      <c r="G337" s="37"/>
      <c r="H337" s="37"/>
      <c r="I337" s="37"/>
      <c r="J337" s="37"/>
      <c r="K337" s="37"/>
      <c r="L337" s="37"/>
      <c r="M337" s="37"/>
      <c r="N337" s="37"/>
      <c r="O337" s="37"/>
      <c r="P337" s="37"/>
      <c r="Q337" s="37"/>
      <c r="R337" s="37"/>
      <c r="S337" s="37"/>
      <c r="T337" s="37"/>
      <c r="U337" s="37"/>
      <c r="W337" s="10"/>
      <c r="X337" s="10"/>
    </row>
    <row r="338" ht="15.75" customHeight="1">
      <c r="A338" s="15"/>
      <c r="B338" s="15"/>
      <c r="C338" s="15"/>
      <c r="D338" s="37"/>
      <c r="E338" s="37"/>
      <c r="F338" s="37"/>
      <c r="G338" s="37"/>
      <c r="H338" s="37"/>
      <c r="I338" s="37"/>
      <c r="J338" s="37"/>
      <c r="K338" s="37"/>
      <c r="L338" s="37"/>
      <c r="M338" s="37"/>
      <c r="N338" s="37"/>
      <c r="O338" s="37"/>
      <c r="P338" s="37"/>
      <c r="Q338" s="37"/>
      <c r="R338" s="37"/>
      <c r="S338" s="37"/>
      <c r="T338" s="37"/>
      <c r="U338" s="37"/>
      <c r="W338" s="10"/>
      <c r="X338" s="10"/>
    </row>
    <row r="339" ht="15.75" customHeight="1">
      <c r="A339" s="15"/>
      <c r="B339" s="15"/>
      <c r="C339" s="15"/>
      <c r="D339" s="37"/>
      <c r="E339" s="37"/>
      <c r="F339" s="37"/>
      <c r="G339" s="37"/>
      <c r="H339" s="37"/>
      <c r="I339" s="37"/>
      <c r="J339" s="37"/>
      <c r="K339" s="37"/>
      <c r="L339" s="37"/>
      <c r="M339" s="37"/>
      <c r="N339" s="37"/>
      <c r="O339" s="37"/>
      <c r="P339" s="37"/>
      <c r="Q339" s="37"/>
      <c r="R339" s="37"/>
      <c r="S339" s="37"/>
      <c r="T339" s="37"/>
      <c r="U339" s="37"/>
      <c r="W339" s="10"/>
      <c r="X339" s="10"/>
    </row>
    <row r="340" ht="15.75" customHeight="1">
      <c r="A340" s="15"/>
      <c r="B340" s="15"/>
      <c r="C340" s="15"/>
      <c r="D340" s="37"/>
      <c r="E340" s="37"/>
      <c r="F340" s="37"/>
      <c r="G340" s="37"/>
      <c r="H340" s="37"/>
      <c r="I340" s="37"/>
      <c r="J340" s="37"/>
      <c r="K340" s="37"/>
      <c r="L340" s="37"/>
      <c r="M340" s="37"/>
      <c r="N340" s="37"/>
      <c r="O340" s="37"/>
      <c r="P340" s="37"/>
      <c r="Q340" s="37"/>
      <c r="R340" s="37"/>
      <c r="S340" s="37"/>
      <c r="T340" s="37"/>
      <c r="U340" s="37"/>
      <c r="W340" s="10"/>
      <c r="X340" s="10"/>
    </row>
    <row r="341" ht="15.75" customHeight="1">
      <c r="A341" s="15"/>
      <c r="B341" s="15"/>
      <c r="C341" s="15"/>
      <c r="D341" s="37"/>
      <c r="E341" s="37"/>
      <c r="F341" s="37"/>
      <c r="G341" s="37"/>
      <c r="H341" s="37"/>
      <c r="I341" s="37"/>
      <c r="J341" s="37"/>
      <c r="K341" s="37"/>
      <c r="L341" s="37"/>
      <c r="M341" s="37"/>
      <c r="N341" s="37"/>
      <c r="O341" s="37"/>
      <c r="P341" s="37"/>
      <c r="Q341" s="37"/>
      <c r="R341" s="37"/>
      <c r="S341" s="37"/>
      <c r="T341" s="37"/>
      <c r="U341" s="37"/>
      <c r="W341" s="10"/>
      <c r="X341" s="10"/>
    </row>
    <row r="342" ht="15.75" customHeight="1">
      <c r="A342" s="15"/>
      <c r="B342" s="15"/>
      <c r="C342" s="15"/>
      <c r="D342" s="37"/>
      <c r="E342" s="37"/>
      <c r="F342" s="37"/>
      <c r="G342" s="37"/>
      <c r="H342" s="37"/>
      <c r="I342" s="37"/>
      <c r="J342" s="37"/>
      <c r="K342" s="37"/>
      <c r="L342" s="37"/>
      <c r="M342" s="37"/>
      <c r="N342" s="37"/>
      <c r="O342" s="37"/>
      <c r="P342" s="37"/>
      <c r="Q342" s="37"/>
      <c r="R342" s="37"/>
      <c r="S342" s="37"/>
      <c r="T342" s="37"/>
      <c r="U342" s="37"/>
      <c r="W342" s="10"/>
      <c r="X342" s="10"/>
    </row>
    <row r="343" ht="15.75" customHeight="1">
      <c r="A343" s="15"/>
      <c r="B343" s="15"/>
      <c r="C343" s="15"/>
      <c r="D343" s="37"/>
      <c r="E343" s="37"/>
      <c r="F343" s="37"/>
      <c r="G343" s="37"/>
      <c r="H343" s="37"/>
      <c r="I343" s="37"/>
      <c r="J343" s="37"/>
      <c r="K343" s="37"/>
      <c r="L343" s="37"/>
      <c r="M343" s="37"/>
      <c r="N343" s="37"/>
      <c r="O343" s="37"/>
      <c r="P343" s="37"/>
      <c r="Q343" s="37"/>
      <c r="R343" s="37"/>
      <c r="S343" s="37"/>
      <c r="T343" s="37"/>
      <c r="U343" s="37"/>
      <c r="W343" s="10"/>
      <c r="X343" s="10"/>
    </row>
    <row r="344" ht="15.75" customHeight="1">
      <c r="A344" s="15"/>
      <c r="B344" s="15"/>
      <c r="C344" s="15"/>
      <c r="D344" s="37"/>
      <c r="E344" s="37"/>
      <c r="F344" s="37"/>
      <c r="G344" s="37"/>
      <c r="H344" s="37"/>
      <c r="I344" s="37"/>
      <c r="J344" s="37"/>
      <c r="K344" s="37"/>
      <c r="L344" s="37"/>
      <c r="M344" s="37"/>
      <c r="N344" s="37"/>
      <c r="O344" s="37"/>
      <c r="P344" s="37"/>
      <c r="Q344" s="37"/>
      <c r="R344" s="37"/>
      <c r="S344" s="37"/>
      <c r="T344" s="37"/>
      <c r="U344" s="37"/>
      <c r="W344" s="10"/>
      <c r="X344" s="10"/>
    </row>
    <row r="345" ht="15.75" customHeight="1">
      <c r="A345" s="15"/>
      <c r="B345" s="15"/>
      <c r="C345" s="15"/>
      <c r="D345" s="37"/>
      <c r="E345" s="37"/>
      <c r="F345" s="37"/>
      <c r="G345" s="37"/>
      <c r="H345" s="37"/>
      <c r="I345" s="37"/>
      <c r="J345" s="37"/>
      <c r="K345" s="37"/>
      <c r="L345" s="37"/>
      <c r="M345" s="37"/>
      <c r="N345" s="37"/>
      <c r="O345" s="37"/>
      <c r="P345" s="37"/>
      <c r="Q345" s="37"/>
      <c r="R345" s="37"/>
      <c r="S345" s="37"/>
      <c r="T345" s="37"/>
      <c r="U345" s="37"/>
      <c r="W345" s="10"/>
      <c r="X345" s="10"/>
    </row>
    <row r="346" ht="15.75" customHeight="1">
      <c r="A346" s="15"/>
      <c r="B346" s="15"/>
      <c r="C346" s="15"/>
      <c r="D346" s="37"/>
      <c r="E346" s="37"/>
      <c r="F346" s="37"/>
      <c r="G346" s="37"/>
      <c r="H346" s="37"/>
      <c r="I346" s="37"/>
      <c r="J346" s="37"/>
      <c r="K346" s="37"/>
      <c r="L346" s="37"/>
      <c r="M346" s="37"/>
      <c r="N346" s="37"/>
      <c r="O346" s="37"/>
      <c r="P346" s="37"/>
      <c r="Q346" s="37"/>
      <c r="R346" s="37"/>
      <c r="S346" s="37"/>
      <c r="T346" s="37"/>
      <c r="U346" s="37"/>
      <c r="W346" s="10"/>
      <c r="X346" s="10"/>
    </row>
    <row r="347" ht="15.75" customHeight="1">
      <c r="A347" s="15"/>
      <c r="B347" s="15"/>
      <c r="C347" s="15"/>
      <c r="D347" s="37"/>
      <c r="E347" s="37"/>
      <c r="F347" s="37"/>
      <c r="G347" s="37"/>
      <c r="H347" s="37"/>
      <c r="I347" s="37"/>
      <c r="J347" s="37"/>
      <c r="K347" s="37"/>
      <c r="L347" s="37"/>
      <c r="M347" s="37"/>
      <c r="N347" s="37"/>
      <c r="O347" s="37"/>
      <c r="P347" s="37"/>
      <c r="Q347" s="37"/>
      <c r="R347" s="37"/>
      <c r="S347" s="37"/>
      <c r="T347" s="37"/>
      <c r="U347" s="37"/>
      <c r="W347" s="10"/>
      <c r="X347" s="10"/>
    </row>
    <row r="348" ht="15.75" customHeight="1">
      <c r="A348" s="15"/>
      <c r="B348" s="15"/>
      <c r="C348" s="15"/>
      <c r="D348" s="37"/>
      <c r="E348" s="37"/>
      <c r="F348" s="37"/>
      <c r="G348" s="37"/>
      <c r="H348" s="37"/>
      <c r="I348" s="37"/>
      <c r="J348" s="37"/>
      <c r="K348" s="37"/>
      <c r="L348" s="37"/>
      <c r="M348" s="37"/>
      <c r="N348" s="37"/>
      <c r="O348" s="37"/>
      <c r="P348" s="37"/>
      <c r="Q348" s="37"/>
      <c r="R348" s="37"/>
      <c r="S348" s="37"/>
      <c r="T348" s="37"/>
      <c r="U348" s="37"/>
      <c r="W348" s="10"/>
      <c r="X348" s="10"/>
    </row>
    <row r="349" ht="15.75" customHeight="1">
      <c r="A349" s="15"/>
      <c r="B349" s="15"/>
      <c r="C349" s="15"/>
      <c r="D349" s="37"/>
      <c r="E349" s="37"/>
      <c r="F349" s="37"/>
      <c r="G349" s="37"/>
      <c r="H349" s="37"/>
      <c r="I349" s="37"/>
      <c r="J349" s="37"/>
      <c r="K349" s="37"/>
      <c r="L349" s="37"/>
      <c r="M349" s="37"/>
      <c r="N349" s="37"/>
      <c r="O349" s="37"/>
      <c r="P349" s="37"/>
      <c r="Q349" s="37"/>
      <c r="R349" s="37"/>
      <c r="S349" s="37"/>
      <c r="T349" s="37"/>
      <c r="U349" s="37"/>
      <c r="W349" s="10"/>
      <c r="X349" s="10"/>
    </row>
    <row r="350" ht="15.75" customHeight="1">
      <c r="A350" s="15"/>
      <c r="B350" s="15"/>
      <c r="C350" s="15"/>
      <c r="D350" s="37"/>
      <c r="E350" s="37"/>
      <c r="F350" s="37"/>
      <c r="G350" s="37"/>
      <c r="H350" s="37"/>
      <c r="I350" s="37"/>
      <c r="J350" s="37"/>
      <c r="K350" s="37"/>
      <c r="L350" s="37"/>
      <c r="M350" s="37"/>
      <c r="N350" s="37"/>
      <c r="O350" s="37"/>
      <c r="P350" s="37"/>
      <c r="Q350" s="37"/>
      <c r="R350" s="37"/>
      <c r="S350" s="37"/>
      <c r="T350" s="37"/>
      <c r="U350" s="37"/>
      <c r="W350" s="10"/>
      <c r="X350" s="10"/>
    </row>
    <row r="351" ht="15.75" customHeight="1">
      <c r="A351" s="15"/>
      <c r="B351" s="15"/>
      <c r="C351" s="15"/>
      <c r="D351" s="37"/>
      <c r="E351" s="37"/>
      <c r="F351" s="37"/>
      <c r="G351" s="37"/>
      <c r="H351" s="37"/>
      <c r="I351" s="37"/>
      <c r="J351" s="37"/>
      <c r="K351" s="37"/>
      <c r="L351" s="37"/>
      <c r="M351" s="37"/>
      <c r="N351" s="37"/>
      <c r="O351" s="37"/>
      <c r="P351" s="37"/>
      <c r="Q351" s="37"/>
      <c r="R351" s="37"/>
      <c r="S351" s="37"/>
      <c r="T351" s="37"/>
      <c r="U351" s="37"/>
      <c r="W351" s="10"/>
      <c r="X351" s="10"/>
    </row>
    <row r="352" ht="15.75" customHeight="1">
      <c r="A352" s="15"/>
      <c r="B352" s="15"/>
      <c r="C352" s="15"/>
      <c r="D352" s="37"/>
      <c r="E352" s="37"/>
      <c r="F352" s="37"/>
      <c r="G352" s="37"/>
      <c r="H352" s="37"/>
      <c r="I352" s="37"/>
      <c r="J352" s="37"/>
      <c r="K352" s="37"/>
      <c r="L352" s="37"/>
      <c r="M352" s="37"/>
      <c r="N352" s="37"/>
      <c r="O352" s="37"/>
      <c r="P352" s="37"/>
      <c r="Q352" s="37"/>
      <c r="R352" s="37"/>
      <c r="S352" s="37"/>
      <c r="T352" s="37"/>
      <c r="U352" s="37"/>
      <c r="W352" s="10"/>
      <c r="X352" s="10"/>
    </row>
    <row r="353" ht="15.75" customHeight="1">
      <c r="A353" s="15"/>
      <c r="B353" s="15"/>
      <c r="C353" s="15"/>
      <c r="D353" s="37"/>
      <c r="E353" s="37"/>
      <c r="F353" s="37"/>
      <c r="G353" s="37"/>
      <c r="H353" s="37"/>
      <c r="I353" s="37"/>
      <c r="J353" s="37"/>
      <c r="K353" s="37"/>
      <c r="L353" s="37"/>
      <c r="M353" s="37"/>
      <c r="N353" s="37"/>
      <c r="O353" s="37"/>
      <c r="P353" s="37"/>
      <c r="Q353" s="37"/>
      <c r="R353" s="37"/>
      <c r="S353" s="37"/>
      <c r="T353" s="37"/>
      <c r="U353" s="37"/>
      <c r="W353" s="10"/>
      <c r="X353" s="10"/>
    </row>
    <row r="354" ht="15.75" customHeight="1">
      <c r="A354" s="15"/>
      <c r="B354" s="15"/>
      <c r="C354" s="15"/>
      <c r="D354" s="37"/>
      <c r="E354" s="37"/>
      <c r="F354" s="37"/>
      <c r="G354" s="37"/>
      <c r="H354" s="37"/>
      <c r="I354" s="37"/>
      <c r="J354" s="37"/>
      <c r="K354" s="37"/>
      <c r="L354" s="37"/>
      <c r="M354" s="37"/>
      <c r="N354" s="37"/>
      <c r="O354" s="37"/>
      <c r="P354" s="37"/>
      <c r="Q354" s="37"/>
      <c r="R354" s="37"/>
      <c r="S354" s="37"/>
      <c r="T354" s="37"/>
      <c r="U354" s="37"/>
      <c r="W354" s="10"/>
      <c r="X354" s="10"/>
    </row>
    <row r="355" ht="15.75" customHeight="1">
      <c r="A355" s="15"/>
      <c r="B355" s="15"/>
      <c r="C355" s="15"/>
      <c r="D355" s="37"/>
      <c r="E355" s="37"/>
      <c r="F355" s="37"/>
      <c r="G355" s="37"/>
      <c r="H355" s="37"/>
      <c r="I355" s="37"/>
      <c r="J355" s="37"/>
      <c r="K355" s="37"/>
      <c r="L355" s="37"/>
      <c r="M355" s="37"/>
      <c r="N355" s="37"/>
      <c r="O355" s="37"/>
      <c r="P355" s="37"/>
      <c r="Q355" s="37"/>
      <c r="R355" s="37"/>
      <c r="S355" s="37"/>
      <c r="T355" s="37"/>
      <c r="U355" s="37"/>
      <c r="W355" s="10"/>
      <c r="X355" s="10"/>
    </row>
    <row r="356" ht="15.75" customHeight="1">
      <c r="A356" s="15"/>
      <c r="B356" s="15"/>
      <c r="C356" s="15"/>
      <c r="D356" s="37"/>
      <c r="E356" s="37"/>
      <c r="F356" s="37"/>
      <c r="G356" s="37"/>
      <c r="H356" s="37"/>
      <c r="I356" s="37"/>
      <c r="J356" s="37"/>
      <c r="K356" s="37"/>
      <c r="L356" s="37"/>
      <c r="M356" s="37"/>
      <c r="N356" s="37"/>
      <c r="O356" s="37"/>
      <c r="P356" s="37"/>
      <c r="Q356" s="37"/>
      <c r="R356" s="37"/>
      <c r="S356" s="37"/>
      <c r="T356" s="37"/>
      <c r="U356" s="37"/>
      <c r="W356" s="10"/>
      <c r="X356" s="10"/>
    </row>
    <row r="357" ht="15.75" customHeight="1">
      <c r="A357" s="15"/>
      <c r="B357" s="15"/>
      <c r="C357" s="15"/>
      <c r="D357" s="37"/>
      <c r="E357" s="37"/>
      <c r="F357" s="37"/>
      <c r="G357" s="37"/>
      <c r="H357" s="37"/>
      <c r="I357" s="37"/>
      <c r="J357" s="37"/>
      <c r="K357" s="37"/>
      <c r="L357" s="37"/>
      <c r="M357" s="37"/>
      <c r="N357" s="37"/>
      <c r="O357" s="37"/>
      <c r="P357" s="37"/>
      <c r="Q357" s="37"/>
      <c r="R357" s="37"/>
      <c r="S357" s="37"/>
      <c r="T357" s="37"/>
      <c r="U357" s="37"/>
      <c r="W357" s="10"/>
      <c r="X357" s="10"/>
    </row>
    <row r="358" ht="15.75" customHeight="1">
      <c r="A358" s="15"/>
      <c r="B358" s="15"/>
      <c r="C358" s="15"/>
      <c r="D358" s="37"/>
      <c r="E358" s="37"/>
      <c r="F358" s="37"/>
      <c r="G358" s="37"/>
      <c r="H358" s="37"/>
      <c r="I358" s="37"/>
      <c r="J358" s="37"/>
      <c r="K358" s="37"/>
      <c r="L358" s="37"/>
      <c r="M358" s="37"/>
      <c r="N358" s="37"/>
      <c r="O358" s="37"/>
      <c r="P358" s="37"/>
      <c r="Q358" s="37"/>
      <c r="R358" s="37"/>
      <c r="S358" s="37"/>
      <c r="T358" s="37"/>
      <c r="U358" s="37"/>
      <c r="W358" s="10"/>
      <c r="X358" s="10"/>
    </row>
    <row r="359" ht="15.75" customHeight="1">
      <c r="A359" s="15"/>
      <c r="B359" s="15"/>
      <c r="C359" s="15"/>
      <c r="D359" s="37"/>
      <c r="E359" s="37"/>
      <c r="F359" s="37"/>
      <c r="G359" s="37"/>
      <c r="H359" s="37"/>
      <c r="I359" s="37"/>
      <c r="J359" s="37"/>
      <c r="K359" s="37"/>
      <c r="L359" s="37"/>
      <c r="M359" s="37"/>
      <c r="N359" s="37"/>
      <c r="O359" s="37"/>
      <c r="P359" s="37"/>
      <c r="Q359" s="37"/>
      <c r="R359" s="37"/>
      <c r="S359" s="37"/>
      <c r="T359" s="37"/>
      <c r="U359" s="37"/>
      <c r="W359" s="10"/>
      <c r="X359" s="10"/>
    </row>
    <row r="360" ht="15.75" customHeight="1">
      <c r="A360" s="15"/>
      <c r="B360" s="15"/>
      <c r="C360" s="15"/>
      <c r="D360" s="37"/>
      <c r="E360" s="37"/>
      <c r="F360" s="37"/>
      <c r="G360" s="37"/>
      <c r="H360" s="37"/>
      <c r="I360" s="37"/>
      <c r="J360" s="37"/>
      <c r="K360" s="37"/>
      <c r="L360" s="37"/>
      <c r="M360" s="37"/>
      <c r="N360" s="37"/>
      <c r="O360" s="37"/>
      <c r="P360" s="37"/>
      <c r="Q360" s="37"/>
      <c r="R360" s="37"/>
      <c r="S360" s="37"/>
      <c r="T360" s="37"/>
      <c r="U360" s="37"/>
      <c r="W360" s="10"/>
      <c r="X360" s="10"/>
    </row>
    <row r="361" ht="15.75" customHeight="1">
      <c r="A361" s="15"/>
      <c r="B361" s="15"/>
      <c r="C361" s="15"/>
      <c r="D361" s="37"/>
      <c r="E361" s="37"/>
      <c r="F361" s="37"/>
      <c r="G361" s="37"/>
      <c r="H361" s="37"/>
      <c r="I361" s="37"/>
      <c r="J361" s="37"/>
      <c r="K361" s="37"/>
      <c r="L361" s="37"/>
      <c r="M361" s="37"/>
      <c r="N361" s="37"/>
      <c r="O361" s="37"/>
      <c r="P361" s="37"/>
      <c r="Q361" s="37"/>
      <c r="R361" s="37"/>
      <c r="S361" s="37"/>
      <c r="T361" s="37"/>
      <c r="U361" s="37"/>
      <c r="W361" s="10"/>
      <c r="X361" s="10"/>
    </row>
    <row r="362" ht="15.75" customHeight="1">
      <c r="A362" s="15"/>
      <c r="B362" s="15"/>
      <c r="C362" s="15"/>
      <c r="D362" s="37"/>
      <c r="E362" s="37"/>
      <c r="F362" s="37"/>
      <c r="G362" s="37"/>
      <c r="H362" s="37"/>
      <c r="I362" s="37"/>
      <c r="J362" s="37"/>
      <c r="K362" s="37"/>
      <c r="L362" s="37"/>
      <c r="M362" s="37"/>
      <c r="N362" s="37"/>
      <c r="O362" s="37"/>
      <c r="P362" s="37"/>
      <c r="Q362" s="37"/>
      <c r="R362" s="37"/>
      <c r="S362" s="37"/>
      <c r="T362" s="37"/>
      <c r="U362" s="37"/>
      <c r="W362" s="10"/>
      <c r="X362" s="10"/>
    </row>
    <row r="363" ht="15.75" customHeight="1">
      <c r="A363" s="15"/>
      <c r="B363" s="15"/>
      <c r="C363" s="15"/>
      <c r="D363" s="37"/>
      <c r="E363" s="37"/>
      <c r="F363" s="37"/>
      <c r="G363" s="37"/>
      <c r="H363" s="37"/>
      <c r="I363" s="37"/>
      <c r="J363" s="37"/>
      <c r="K363" s="37"/>
      <c r="L363" s="37"/>
      <c r="M363" s="37"/>
      <c r="N363" s="37"/>
      <c r="O363" s="37"/>
      <c r="P363" s="37"/>
      <c r="Q363" s="37"/>
      <c r="R363" s="37"/>
      <c r="S363" s="37"/>
      <c r="T363" s="37"/>
      <c r="U363" s="37"/>
      <c r="W363" s="10"/>
      <c r="X363" s="10"/>
    </row>
    <row r="364" ht="15.75" customHeight="1">
      <c r="A364" s="15"/>
      <c r="B364" s="15"/>
      <c r="C364" s="15"/>
      <c r="D364" s="37"/>
      <c r="E364" s="37"/>
      <c r="F364" s="37"/>
      <c r="G364" s="37"/>
      <c r="H364" s="37"/>
      <c r="I364" s="37"/>
      <c r="J364" s="37"/>
      <c r="K364" s="37"/>
      <c r="L364" s="37"/>
      <c r="M364" s="37"/>
      <c r="N364" s="37"/>
      <c r="O364" s="37"/>
      <c r="P364" s="37"/>
      <c r="Q364" s="37"/>
      <c r="R364" s="37"/>
      <c r="S364" s="37"/>
      <c r="T364" s="37"/>
      <c r="U364" s="37"/>
      <c r="W364" s="10"/>
      <c r="X364" s="10"/>
    </row>
    <row r="365" ht="15.75" customHeight="1">
      <c r="A365" s="15"/>
      <c r="B365" s="15"/>
      <c r="C365" s="15"/>
      <c r="D365" s="37"/>
      <c r="E365" s="37"/>
      <c r="F365" s="37"/>
      <c r="G365" s="37"/>
      <c r="H365" s="37"/>
      <c r="I365" s="37"/>
      <c r="J365" s="37"/>
      <c r="K365" s="37"/>
      <c r="L365" s="37"/>
      <c r="M365" s="37"/>
      <c r="N365" s="37"/>
      <c r="O365" s="37"/>
      <c r="P365" s="37"/>
      <c r="Q365" s="37"/>
      <c r="R365" s="37"/>
      <c r="S365" s="37"/>
      <c r="T365" s="37"/>
      <c r="U365" s="37"/>
      <c r="W365" s="10"/>
      <c r="X365" s="10"/>
    </row>
    <row r="366" ht="15.75" customHeight="1">
      <c r="A366" s="15"/>
      <c r="B366" s="15"/>
      <c r="C366" s="37"/>
      <c r="D366" s="37"/>
      <c r="E366" s="37"/>
      <c r="F366" s="37"/>
      <c r="G366" s="37"/>
      <c r="H366" s="37"/>
      <c r="I366" s="37"/>
      <c r="J366" s="37"/>
      <c r="K366" s="37"/>
      <c r="L366" s="37"/>
      <c r="M366" s="37"/>
      <c r="N366" s="37"/>
      <c r="O366" s="37"/>
      <c r="P366" s="37"/>
      <c r="Q366" s="37"/>
      <c r="R366" s="37"/>
      <c r="S366" s="37"/>
      <c r="T366" s="37"/>
      <c r="U366" s="37"/>
      <c r="W366" s="10"/>
      <c r="X366" s="10"/>
    </row>
    <row r="367" ht="15.75" customHeight="1">
      <c r="A367" s="15"/>
      <c r="B367" s="15"/>
      <c r="C367" s="37"/>
      <c r="D367" s="37"/>
      <c r="E367" s="37"/>
      <c r="F367" s="37"/>
      <c r="G367" s="37"/>
      <c r="H367" s="37"/>
      <c r="I367" s="37"/>
      <c r="J367" s="37"/>
      <c r="K367" s="37"/>
      <c r="L367" s="37"/>
      <c r="M367" s="37"/>
      <c r="N367" s="37"/>
      <c r="O367" s="37"/>
      <c r="P367" s="37"/>
      <c r="Q367" s="37"/>
      <c r="R367" s="37"/>
      <c r="S367" s="37"/>
      <c r="T367" s="37"/>
      <c r="U367" s="37"/>
      <c r="W367" s="10"/>
      <c r="X367" s="10"/>
    </row>
    <row r="368" ht="15.75" customHeight="1">
      <c r="A368" s="15"/>
      <c r="B368" s="15"/>
      <c r="C368" s="37"/>
      <c r="D368" s="37"/>
      <c r="E368" s="37"/>
      <c r="F368" s="37"/>
      <c r="G368" s="37"/>
      <c r="H368" s="37"/>
      <c r="I368" s="37"/>
      <c r="J368" s="37"/>
      <c r="K368" s="37"/>
      <c r="L368" s="37"/>
      <c r="M368" s="37"/>
      <c r="N368" s="37"/>
      <c r="O368" s="37"/>
      <c r="P368" s="37"/>
      <c r="Q368" s="37"/>
      <c r="R368" s="37"/>
      <c r="S368" s="37"/>
      <c r="T368" s="37"/>
      <c r="U368" s="37"/>
      <c r="W368" s="10"/>
      <c r="X368" s="10"/>
    </row>
    <row r="369" ht="15.75" customHeight="1">
      <c r="A369" s="15"/>
      <c r="B369" s="15"/>
      <c r="C369" s="37"/>
      <c r="D369" s="37"/>
      <c r="E369" s="37"/>
      <c r="F369" s="37"/>
      <c r="G369" s="37"/>
      <c r="H369" s="37"/>
      <c r="I369" s="37"/>
      <c r="J369" s="37"/>
      <c r="K369" s="37"/>
      <c r="L369" s="37"/>
      <c r="M369" s="37"/>
      <c r="N369" s="37"/>
      <c r="O369" s="37"/>
      <c r="P369" s="37"/>
      <c r="Q369" s="37"/>
      <c r="R369" s="37"/>
      <c r="S369" s="37"/>
      <c r="T369" s="37"/>
      <c r="U369" s="37"/>
      <c r="W369" s="10"/>
      <c r="X369" s="10"/>
    </row>
    <row r="370" ht="15.75" customHeight="1">
      <c r="A370" s="15"/>
      <c r="B370" s="15"/>
      <c r="C370" s="37"/>
      <c r="D370" s="37"/>
      <c r="E370" s="37"/>
      <c r="F370" s="37"/>
      <c r="G370" s="37"/>
      <c r="H370" s="37"/>
      <c r="I370" s="37"/>
      <c r="J370" s="37"/>
      <c r="K370" s="37"/>
      <c r="L370" s="37"/>
      <c r="M370" s="37"/>
      <c r="N370" s="37"/>
      <c r="O370" s="37"/>
      <c r="P370" s="37"/>
      <c r="Q370" s="37"/>
      <c r="R370" s="37"/>
      <c r="S370" s="37"/>
      <c r="T370" s="37"/>
      <c r="U370" s="37"/>
      <c r="W370" s="10"/>
      <c r="X370" s="10"/>
    </row>
    <row r="371" ht="15.75" customHeight="1">
      <c r="A371" s="15"/>
      <c r="B371" s="15"/>
      <c r="C371" s="37"/>
      <c r="D371" s="37"/>
      <c r="E371" s="37"/>
      <c r="F371" s="37"/>
      <c r="G371" s="37"/>
      <c r="H371" s="37"/>
      <c r="I371" s="37"/>
      <c r="J371" s="37"/>
      <c r="K371" s="37"/>
      <c r="L371" s="37"/>
      <c r="M371" s="37"/>
      <c r="N371" s="37"/>
      <c r="O371" s="37"/>
      <c r="P371" s="37"/>
      <c r="Q371" s="37"/>
      <c r="R371" s="37"/>
      <c r="S371" s="37"/>
      <c r="T371" s="37"/>
      <c r="U371" s="37"/>
      <c r="W371" s="10"/>
      <c r="X371" s="10"/>
    </row>
    <row r="372" ht="15.75" customHeight="1">
      <c r="A372" s="15"/>
      <c r="B372" s="15"/>
      <c r="C372" s="37"/>
      <c r="D372" s="37"/>
      <c r="E372" s="37"/>
      <c r="F372" s="37"/>
      <c r="G372" s="37"/>
      <c r="H372" s="37"/>
      <c r="I372" s="37"/>
      <c r="J372" s="37"/>
      <c r="K372" s="37"/>
      <c r="L372" s="37"/>
      <c r="M372" s="37"/>
      <c r="N372" s="37"/>
      <c r="O372" s="37"/>
      <c r="P372" s="37"/>
      <c r="Q372" s="37"/>
      <c r="R372" s="37"/>
      <c r="S372" s="37"/>
      <c r="T372" s="37"/>
      <c r="U372" s="37"/>
      <c r="W372" s="10"/>
      <c r="X372" s="10"/>
    </row>
    <row r="373" ht="15.75" customHeight="1">
      <c r="A373" s="15"/>
      <c r="B373" s="15"/>
      <c r="C373" s="37"/>
      <c r="D373" s="37"/>
      <c r="E373" s="37"/>
      <c r="F373" s="37"/>
      <c r="G373" s="37"/>
      <c r="H373" s="37"/>
      <c r="I373" s="37"/>
      <c r="J373" s="37"/>
      <c r="K373" s="37"/>
      <c r="L373" s="37"/>
      <c r="M373" s="37"/>
      <c r="N373" s="37"/>
      <c r="O373" s="37"/>
      <c r="P373" s="37"/>
      <c r="Q373" s="37"/>
      <c r="R373" s="37"/>
      <c r="S373" s="37"/>
      <c r="T373" s="37"/>
      <c r="U373" s="37"/>
      <c r="W373" s="10"/>
      <c r="X373" s="10"/>
    </row>
    <row r="374" ht="15.75" customHeight="1">
      <c r="A374" s="15"/>
      <c r="B374" s="15"/>
      <c r="C374" s="37"/>
      <c r="D374" s="37"/>
      <c r="E374" s="37"/>
      <c r="F374" s="37"/>
      <c r="G374" s="37"/>
      <c r="H374" s="37"/>
      <c r="I374" s="37"/>
      <c r="J374" s="37"/>
      <c r="K374" s="37"/>
      <c r="L374" s="37"/>
      <c r="M374" s="37"/>
      <c r="N374" s="37"/>
      <c r="O374" s="37"/>
      <c r="P374" s="37"/>
      <c r="Q374" s="37"/>
      <c r="R374" s="37"/>
      <c r="S374" s="37"/>
      <c r="T374" s="37"/>
      <c r="U374" s="37"/>
      <c r="W374" s="10"/>
      <c r="X374" s="10"/>
    </row>
    <row r="375" ht="15.75" customHeight="1">
      <c r="A375" s="15"/>
      <c r="B375" s="15"/>
      <c r="C375" s="37"/>
      <c r="D375" s="37"/>
      <c r="E375" s="37"/>
      <c r="F375" s="37"/>
      <c r="G375" s="37"/>
      <c r="H375" s="37"/>
      <c r="I375" s="37"/>
      <c r="J375" s="37"/>
      <c r="K375" s="37"/>
      <c r="L375" s="37"/>
      <c r="M375" s="37"/>
      <c r="N375" s="37"/>
      <c r="O375" s="37"/>
      <c r="P375" s="37"/>
      <c r="Q375" s="37"/>
      <c r="R375" s="37"/>
      <c r="S375" s="37"/>
      <c r="T375" s="37"/>
      <c r="U375" s="37"/>
      <c r="W375" s="10"/>
      <c r="X375" s="10"/>
    </row>
    <row r="376" ht="15.75" customHeight="1">
      <c r="A376" s="15"/>
      <c r="B376" s="15"/>
      <c r="C376" s="37"/>
      <c r="D376" s="37"/>
      <c r="E376" s="37"/>
      <c r="F376" s="37"/>
      <c r="G376" s="37"/>
      <c r="H376" s="37"/>
      <c r="I376" s="37"/>
      <c r="J376" s="37"/>
      <c r="K376" s="37"/>
      <c r="L376" s="37"/>
      <c r="M376" s="37"/>
      <c r="N376" s="37"/>
      <c r="O376" s="37"/>
      <c r="P376" s="37"/>
      <c r="Q376" s="37"/>
      <c r="R376" s="37"/>
      <c r="S376" s="37"/>
      <c r="T376" s="37"/>
      <c r="U376" s="37"/>
      <c r="W376" s="10"/>
      <c r="X376" s="10"/>
    </row>
    <row r="377" ht="15.75" customHeight="1">
      <c r="A377" s="15"/>
      <c r="B377" s="15"/>
      <c r="C377" s="37"/>
      <c r="D377" s="37"/>
      <c r="E377" s="37"/>
      <c r="F377" s="37"/>
      <c r="G377" s="37"/>
      <c r="H377" s="37"/>
      <c r="I377" s="37"/>
      <c r="J377" s="37"/>
      <c r="K377" s="37"/>
      <c r="L377" s="37"/>
      <c r="M377" s="37"/>
      <c r="N377" s="37"/>
      <c r="O377" s="37"/>
      <c r="P377" s="37"/>
      <c r="Q377" s="37"/>
      <c r="R377" s="37"/>
      <c r="S377" s="37"/>
      <c r="T377" s="37"/>
      <c r="U377" s="37"/>
      <c r="W377" s="10"/>
      <c r="X377" s="10"/>
    </row>
    <row r="378" ht="15.75" customHeight="1">
      <c r="A378" s="15"/>
      <c r="B378" s="15"/>
      <c r="C378" s="37"/>
      <c r="D378" s="37"/>
      <c r="E378" s="37"/>
      <c r="F378" s="37"/>
      <c r="G378" s="37"/>
      <c r="H378" s="37"/>
      <c r="I378" s="37"/>
      <c r="J378" s="37"/>
      <c r="K378" s="37"/>
      <c r="L378" s="37"/>
      <c r="M378" s="37"/>
      <c r="N378" s="37"/>
      <c r="O378" s="37"/>
      <c r="P378" s="37"/>
      <c r="Q378" s="37"/>
      <c r="R378" s="37"/>
      <c r="S378" s="37"/>
      <c r="T378" s="37"/>
      <c r="U378" s="37"/>
      <c r="W378" s="10"/>
      <c r="X378" s="10"/>
    </row>
    <row r="379" ht="15.75" customHeight="1">
      <c r="A379" s="15"/>
      <c r="B379" s="15"/>
      <c r="C379" s="37"/>
      <c r="D379" s="37"/>
      <c r="E379" s="37"/>
      <c r="F379" s="37"/>
      <c r="G379" s="37"/>
      <c r="H379" s="37"/>
      <c r="I379" s="37"/>
      <c r="J379" s="37"/>
      <c r="K379" s="37"/>
      <c r="L379" s="37"/>
      <c r="M379" s="37"/>
      <c r="N379" s="37"/>
      <c r="O379" s="37"/>
      <c r="P379" s="37"/>
      <c r="Q379" s="37"/>
      <c r="R379" s="37"/>
      <c r="S379" s="37"/>
      <c r="T379" s="37"/>
      <c r="U379" s="37"/>
      <c r="W379" s="10"/>
      <c r="X379" s="10"/>
    </row>
    <row r="380" ht="15.75" customHeight="1">
      <c r="A380" s="15"/>
      <c r="B380" s="15"/>
      <c r="C380" s="37"/>
      <c r="D380" s="37"/>
      <c r="E380" s="37"/>
      <c r="F380" s="37"/>
      <c r="G380" s="37"/>
      <c r="H380" s="37"/>
      <c r="I380" s="37"/>
      <c r="J380" s="37"/>
      <c r="K380" s="37"/>
      <c r="L380" s="37"/>
      <c r="M380" s="37"/>
      <c r="N380" s="37"/>
      <c r="O380" s="37"/>
      <c r="P380" s="37"/>
      <c r="Q380" s="37"/>
      <c r="R380" s="37"/>
      <c r="S380" s="37"/>
      <c r="T380" s="37"/>
      <c r="U380" s="37"/>
      <c r="W380" s="10"/>
      <c r="X380" s="10"/>
    </row>
    <row r="381" ht="15.75" customHeight="1">
      <c r="A381" s="15"/>
      <c r="B381" s="15"/>
      <c r="C381" s="37"/>
      <c r="D381" s="37"/>
      <c r="E381" s="37"/>
      <c r="F381" s="37"/>
      <c r="G381" s="37"/>
      <c r="H381" s="37"/>
      <c r="I381" s="37"/>
      <c r="J381" s="37"/>
      <c r="K381" s="37"/>
      <c r="L381" s="37"/>
      <c r="M381" s="37"/>
      <c r="N381" s="37"/>
      <c r="O381" s="37"/>
      <c r="P381" s="37"/>
      <c r="Q381" s="37"/>
      <c r="R381" s="37"/>
      <c r="S381" s="37"/>
      <c r="T381" s="37"/>
      <c r="U381" s="37"/>
      <c r="W381" s="10"/>
      <c r="X381" s="10"/>
    </row>
    <row r="382" ht="15.75" customHeight="1">
      <c r="A382" s="15"/>
      <c r="B382" s="15"/>
      <c r="C382" s="37"/>
      <c r="D382" s="37"/>
      <c r="E382" s="37"/>
      <c r="F382" s="37"/>
      <c r="G382" s="37"/>
      <c r="H382" s="37"/>
      <c r="I382" s="37"/>
      <c r="J382" s="37"/>
      <c r="K382" s="37"/>
      <c r="L382" s="37"/>
      <c r="M382" s="37"/>
      <c r="N382" s="37"/>
      <c r="O382" s="37"/>
      <c r="P382" s="37"/>
      <c r="Q382" s="37"/>
      <c r="R382" s="37"/>
      <c r="S382" s="37"/>
      <c r="T382" s="37"/>
      <c r="U382" s="37"/>
      <c r="W382" s="10"/>
      <c r="X382" s="10"/>
    </row>
    <row r="383" ht="15.75" customHeight="1">
      <c r="A383" s="15"/>
      <c r="B383" s="15"/>
      <c r="C383" s="37"/>
      <c r="D383" s="37"/>
      <c r="E383" s="37"/>
      <c r="F383" s="37"/>
      <c r="G383" s="37"/>
      <c r="H383" s="37"/>
      <c r="I383" s="37"/>
      <c r="J383" s="37"/>
      <c r="K383" s="37"/>
      <c r="L383" s="37"/>
      <c r="M383" s="37"/>
      <c r="N383" s="37"/>
      <c r="O383" s="37"/>
      <c r="P383" s="37"/>
      <c r="Q383" s="37"/>
      <c r="R383" s="37"/>
      <c r="S383" s="37"/>
      <c r="T383" s="37"/>
      <c r="U383" s="37"/>
      <c r="W383" s="10"/>
      <c r="X383" s="10"/>
    </row>
    <row r="384" ht="15.75" customHeight="1">
      <c r="A384" s="15"/>
      <c r="B384" s="15"/>
      <c r="C384" s="37"/>
      <c r="D384" s="37"/>
      <c r="E384" s="37"/>
      <c r="F384" s="37"/>
      <c r="G384" s="37"/>
      <c r="H384" s="37"/>
      <c r="I384" s="37"/>
      <c r="J384" s="37"/>
      <c r="K384" s="37"/>
      <c r="L384" s="37"/>
      <c r="M384" s="37"/>
      <c r="N384" s="37"/>
      <c r="O384" s="37"/>
      <c r="P384" s="37"/>
      <c r="Q384" s="37"/>
      <c r="R384" s="37"/>
      <c r="S384" s="37"/>
      <c r="T384" s="37"/>
      <c r="U384" s="37"/>
      <c r="W384" s="10"/>
      <c r="X384" s="10"/>
    </row>
    <row r="385" ht="15.75" customHeight="1">
      <c r="A385" s="15"/>
      <c r="B385" s="15"/>
      <c r="C385" s="37"/>
      <c r="D385" s="37"/>
      <c r="E385" s="37"/>
      <c r="F385" s="37"/>
      <c r="G385" s="37"/>
      <c r="H385" s="37"/>
      <c r="I385" s="37"/>
      <c r="J385" s="37"/>
      <c r="K385" s="37"/>
      <c r="L385" s="37"/>
      <c r="M385" s="37"/>
      <c r="N385" s="37"/>
      <c r="O385" s="37"/>
      <c r="P385" s="37"/>
      <c r="Q385" s="37"/>
      <c r="R385" s="37"/>
      <c r="S385" s="37"/>
      <c r="T385" s="37"/>
      <c r="U385" s="37"/>
      <c r="W385" s="10"/>
      <c r="X385" s="10"/>
    </row>
    <row r="386" ht="15.75" customHeight="1">
      <c r="A386" s="15"/>
      <c r="B386" s="15"/>
      <c r="C386" s="37"/>
      <c r="D386" s="37"/>
      <c r="E386" s="37"/>
      <c r="F386" s="37"/>
      <c r="G386" s="37"/>
      <c r="H386" s="37"/>
      <c r="I386" s="37"/>
      <c r="J386" s="37"/>
      <c r="K386" s="37"/>
      <c r="L386" s="37"/>
      <c r="M386" s="37"/>
      <c r="N386" s="37"/>
      <c r="O386" s="37"/>
      <c r="P386" s="37"/>
      <c r="Q386" s="37"/>
      <c r="R386" s="37"/>
      <c r="S386" s="37"/>
      <c r="T386" s="37"/>
      <c r="U386" s="37"/>
      <c r="W386" s="10"/>
      <c r="X386" s="10"/>
    </row>
    <row r="387" ht="15.75" customHeight="1">
      <c r="A387" s="15"/>
      <c r="B387" s="15"/>
      <c r="C387" s="37"/>
      <c r="D387" s="37"/>
      <c r="E387" s="37"/>
      <c r="F387" s="37"/>
      <c r="G387" s="37"/>
      <c r="H387" s="37"/>
      <c r="I387" s="37"/>
      <c r="J387" s="37"/>
      <c r="K387" s="37"/>
      <c r="L387" s="37"/>
      <c r="M387" s="37"/>
      <c r="N387" s="37"/>
      <c r="O387" s="37"/>
      <c r="P387" s="37"/>
      <c r="Q387" s="37"/>
      <c r="R387" s="37"/>
      <c r="S387" s="37"/>
      <c r="T387" s="37"/>
      <c r="U387" s="37"/>
      <c r="W387" s="10"/>
      <c r="X387" s="10"/>
    </row>
    <row r="388" ht="15.75" customHeight="1">
      <c r="A388" s="15"/>
      <c r="B388" s="15"/>
      <c r="C388" s="37"/>
      <c r="D388" s="37"/>
      <c r="E388" s="37"/>
      <c r="F388" s="37"/>
      <c r="G388" s="37"/>
      <c r="H388" s="37"/>
      <c r="I388" s="37"/>
      <c r="J388" s="37"/>
      <c r="K388" s="37"/>
      <c r="L388" s="37"/>
      <c r="M388" s="37"/>
      <c r="N388" s="37"/>
      <c r="O388" s="37"/>
      <c r="P388" s="37"/>
      <c r="Q388" s="37"/>
      <c r="R388" s="37"/>
      <c r="S388" s="37"/>
      <c r="T388" s="37"/>
      <c r="U388" s="37"/>
      <c r="W388" s="10"/>
      <c r="X388" s="10"/>
    </row>
    <row r="389" ht="15.75" customHeight="1">
      <c r="A389" s="15"/>
      <c r="B389" s="15"/>
      <c r="C389" s="37"/>
      <c r="D389" s="37"/>
      <c r="E389" s="37"/>
      <c r="F389" s="37"/>
      <c r="G389" s="37"/>
      <c r="H389" s="37"/>
      <c r="I389" s="37"/>
      <c r="J389" s="37"/>
      <c r="K389" s="37"/>
      <c r="L389" s="37"/>
      <c r="M389" s="37"/>
      <c r="N389" s="37"/>
      <c r="O389" s="37"/>
      <c r="P389" s="37"/>
      <c r="Q389" s="37"/>
      <c r="R389" s="37"/>
      <c r="S389" s="37"/>
      <c r="T389" s="37"/>
      <c r="U389" s="37"/>
      <c r="W389" s="10"/>
      <c r="X389" s="10"/>
    </row>
    <row r="390" ht="15.75" customHeight="1">
      <c r="A390" s="15"/>
      <c r="B390" s="15"/>
      <c r="C390" s="37"/>
      <c r="D390" s="37"/>
      <c r="E390" s="37"/>
      <c r="F390" s="37"/>
      <c r="G390" s="37"/>
      <c r="H390" s="37"/>
      <c r="I390" s="37"/>
      <c r="J390" s="37"/>
      <c r="K390" s="37"/>
      <c r="L390" s="37"/>
      <c r="M390" s="37"/>
      <c r="N390" s="37"/>
      <c r="O390" s="37"/>
      <c r="P390" s="37"/>
      <c r="Q390" s="37"/>
      <c r="R390" s="37"/>
      <c r="S390" s="37"/>
      <c r="T390" s="37"/>
      <c r="U390" s="37"/>
      <c r="W390" s="10"/>
      <c r="X390" s="10"/>
    </row>
    <row r="391" ht="15.75" customHeight="1">
      <c r="A391" s="15"/>
      <c r="B391" s="15"/>
      <c r="C391" s="37"/>
      <c r="D391" s="37"/>
      <c r="E391" s="37"/>
      <c r="F391" s="37"/>
      <c r="G391" s="37"/>
      <c r="H391" s="37"/>
      <c r="I391" s="37"/>
      <c r="J391" s="37"/>
      <c r="K391" s="37"/>
      <c r="L391" s="37"/>
      <c r="M391" s="37"/>
      <c r="N391" s="37"/>
      <c r="O391" s="37"/>
      <c r="P391" s="37"/>
      <c r="Q391" s="37"/>
      <c r="R391" s="37"/>
      <c r="S391" s="37"/>
      <c r="T391" s="37"/>
      <c r="U391" s="37"/>
      <c r="W391" s="10"/>
      <c r="X391" s="10"/>
    </row>
    <row r="392" ht="15.75" customHeight="1">
      <c r="A392" s="15"/>
      <c r="B392" s="15"/>
      <c r="C392" s="37"/>
      <c r="D392" s="37"/>
      <c r="E392" s="37"/>
      <c r="F392" s="37"/>
      <c r="G392" s="37"/>
      <c r="H392" s="37"/>
      <c r="I392" s="37"/>
      <c r="J392" s="37"/>
      <c r="K392" s="37"/>
      <c r="L392" s="37"/>
      <c r="M392" s="37"/>
      <c r="N392" s="37"/>
      <c r="O392" s="37"/>
      <c r="P392" s="37"/>
      <c r="Q392" s="37"/>
      <c r="R392" s="37"/>
      <c r="S392" s="37"/>
      <c r="T392" s="37"/>
      <c r="U392" s="37"/>
      <c r="W392" s="10"/>
      <c r="X392" s="10"/>
    </row>
    <row r="393" ht="15.75" customHeight="1">
      <c r="A393" s="15"/>
      <c r="B393" s="15"/>
      <c r="C393" s="37"/>
      <c r="D393" s="37"/>
      <c r="E393" s="37"/>
      <c r="F393" s="37"/>
      <c r="G393" s="37"/>
      <c r="H393" s="37"/>
      <c r="I393" s="37"/>
      <c r="J393" s="37"/>
      <c r="K393" s="37"/>
      <c r="L393" s="37"/>
      <c r="M393" s="37"/>
      <c r="N393" s="37"/>
      <c r="O393" s="37"/>
      <c r="P393" s="37"/>
      <c r="Q393" s="37"/>
      <c r="R393" s="37"/>
      <c r="S393" s="37"/>
      <c r="T393" s="37"/>
      <c r="U393" s="37"/>
      <c r="W393" s="10"/>
      <c r="X393" s="10"/>
    </row>
    <row r="394" ht="15.75" customHeight="1">
      <c r="A394" s="37"/>
      <c r="B394" s="37"/>
      <c r="C394" s="37"/>
      <c r="D394" s="37"/>
      <c r="E394" s="37"/>
      <c r="F394" s="37"/>
      <c r="G394" s="37"/>
      <c r="H394" s="37"/>
      <c r="I394" s="37"/>
      <c r="J394" s="37"/>
      <c r="K394" s="37"/>
      <c r="L394" s="37"/>
      <c r="M394" s="37"/>
      <c r="N394" s="37"/>
      <c r="O394" s="37"/>
      <c r="P394" s="37"/>
      <c r="Q394" s="37"/>
      <c r="R394" s="37"/>
      <c r="S394" s="37"/>
      <c r="T394" s="37"/>
      <c r="U394" s="37"/>
      <c r="W394" s="10"/>
      <c r="X394" s="10"/>
    </row>
    <row r="395" ht="15.75" customHeight="1">
      <c r="A395" s="37"/>
      <c r="B395" s="37"/>
      <c r="C395" s="37"/>
      <c r="D395" s="37"/>
      <c r="E395" s="37"/>
      <c r="F395" s="37"/>
      <c r="G395" s="37"/>
      <c r="H395" s="37"/>
      <c r="I395" s="37"/>
      <c r="J395" s="37"/>
      <c r="K395" s="37"/>
      <c r="L395" s="37"/>
      <c r="M395" s="37"/>
      <c r="N395" s="37"/>
      <c r="O395" s="37"/>
      <c r="P395" s="37"/>
      <c r="Q395" s="37"/>
      <c r="R395" s="37"/>
      <c r="S395" s="37"/>
      <c r="T395" s="37"/>
      <c r="U395" s="37"/>
      <c r="W395" s="10"/>
      <c r="X395" s="10"/>
    </row>
    <row r="396" ht="15.75" customHeight="1">
      <c r="A396" s="37"/>
      <c r="B396" s="37"/>
      <c r="C396" s="37"/>
      <c r="D396" s="37"/>
      <c r="E396" s="37"/>
      <c r="F396" s="37"/>
      <c r="G396" s="37"/>
      <c r="H396" s="37"/>
      <c r="I396" s="37"/>
      <c r="J396" s="37"/>
      <c r="K396" s="37"/>
      <c r="L396" s="37"/>
      <c r="M396" s="37"/>
      <c r="N396" s="37"/>
      <c r="O396" s="37"/>
      <c r="P396" s="37"/>
      <c r="Q396" s="37"/>
      <c r="R396" s="37"/>
      <c r="S396" s="37"/>
      <c r="T396" s="37"/>
      <c r="U396" s="37"/>
      <c r="W396" s="10"/>
      <c r="X396" s="10"/>
    </row>
    <row r="397" ht="15.75" customHeight="1">
      <c r="A397" s="37"/>
      <c r="B397" s="37"/>
      <c r="C397" s="37"/>
      <c r="D397" s="37"/>
      <c r="E397" s="37"/>
      <c r="F397" s="37"/>
      <c r="G397" s="37"/>
      <c r="H397" s="37"/>
      <c r="I397" s="37"/>
      <c r="J397" s="37"/>
      <c r="K397" s="37"/>
      <c r="L397" s="37"/>
      <c r="M397" s="37"/>
      <c r="N397" s="37"/>
      <c r="O397" s="37"/>
      <c r="P397" s="37"/>
      <c r="Q397" s="37"/>
      <c r="R397" s="37"/>
      <c r="S397" s="37"/>
      <c r="T397" s="37"/>
      <c r="U397" s="37"/>
      <c r="W397" s="10"/>
      <c r="X397" s="10"/>
    </row>
    <row r="398" ht="15.75" customHeight="1">
      <c r="A398" s="37"/>
      <c r="B398" s="37"/>
      <c r="C398" s="37"/>
      <c r="D398" s="37"/>
      <c r="E398" s="37"/>
      <c r="F398" s="37"/>
      <c r="G398" s="37"/>
      <c r="H398" s="37"/>
      <c r="I398" s="37"/>
      <c r="J398" s="37"/>
      <c r="K398" s="37"/>
      <c r="L398" s="37"/>
      <c r="M398" s="37"/>
      <c r="N398" s="37"/>
      <c r="O398" s="37"/>
      <c r="P398" s="37"/>
      <c r="Q398" s="37"/>
      <c r="R398" s="37"/>
      <c r="S398" s="37"/>
      <c r="T398" s="37"/>
      <c r="U398" s="37"/>
      <c r="W398" s="10"/>
      <c r="X398" s="10"/>
    </row>
    <row r="399" ht="15.75" customHeight="1">
      <c r="A399" s="37"/>
      <c r="B399" s="37"/>
      <c r="C399" s="37"/>
      <c r="D399" s="37"/>
      <c r="E399" s="37"/>
      <c r="F399" s="37"/>
      <c r="G399" s="37"/>
      <c r="H399" s="37"/>
      <c r="I399" s="37"/>
      <c r="J399" s="37"/>
      <c r="K399" s="37"/>
      <c r="L399" s="37"/>
      <c r="M399" s="37"/>
      <c r="N399" s="37"/>
      <c r="O399" s="37"/>
      <c r="P399" s="37"/>
      <c r="Q399" s="37"/>
      <c r="R399" s="37"/>
      <c r="S399" s="37"/>
      <c r="T399" s="37"/>
      <c r="U399" s="37"/>
      <c r="W399" s="10"/>
      <c r="X399" s="10"/>
    </row>
    <row r="400" ht="15.75" customHeight="1">
      <c r="A400" s="37"/>
      <c r="B400" s="37"/>
      <c r="C400" s="37"/>
      <c r="D400" s="37"/>
      <c r="E400" s="37"/>
      <c r="F400" s="37"/>
      <c r="G400" s="37"/>
      <c r="H400" s="37"/>
      <c r="I400" s="37"/>
      <c r="J400" s="37"/>
      <c r="K400" s="37"/>
      <c r="L400" s="37"/>
      <c r="M400" s="37"/>
      <c r="N400" s="37"/>
      <c r="O400" s="37"/>
      <c r="P400" s="37"/>
      <c r="Q400" s="37"/>
      <c r="R400" s="37"/>
      <c r="S400" s="37"/>
      <c r="T400" s="37"/>
      <c r="U400" s="37"/>
      <c r="W400" s="10"/>
      <c r="X400" s="10"/>
    </row>
    <row r="401" ht="15.75" customHeight="1">
      <c r="A401" s="37"/>
      <c r="B401" s="37"/>
      <c r="C401" s="37"/>
      <c r="D401" s="37"/>
      <c r="E401" s="37"/>
      <c r="F401" s="37"/>
      <c r="G401" s="37"/>
      <c r="H401" s="37"/>
      <c r="I401" s="37"/>
      <c r="J401" s="37"/>
      <c r="K401" s="37"/>
      <c r="L401" s="37"/>
      <c r="M401" s="37"/>
      <c r="N401" s="37"/>
      <c r="O401" s="37"/>
      <c r="P401" s="37"/>
      <c r="Q401" s="37"/>
      <c r="R401" s="37"/>
      <c r="S401" s="37"/>
      <c r="T401" s="37"/>
      <c r="U401" s="37"/>
      <c r="W401" s="10"/>
      <c r="X401" s="10"/>
    </row>
    <row r="402" ht="15.75" customHeight="1">
      <c r="A402" s="37"/>
      <c r="B402" s="37"/>
      <c r="C402" s="37"/>
      <c r="D402" s="37"/>
      <c r="E402" s="37"/>
      <c r="F402" s="37"/>
      <c r="G402" s="37"/>
      <c r="H402" s="37"/>
      <c r="I402" s="37"/>
      <c r="J402" s="37"/>
      <c r="K402" s="37"/>
      <c r="L402" s="37"/>
      <c r="M402" s="37"/>
      <c r="N402" s="37"/>
      <c r="O402" s="37"/>
      <c r="P402" s="37"/>
      <c r="Q402" s="37"/>
      <c r="R402" s="37"/>
      <c r="S402" s="37"/>
      <c r="T402" s="37"/>
      <c r="U402" s="37"/>
      <c r="W402" s="10"/>
      <c r="X402" s="10"/>
    </row>
    <row r="403" ht="15.75" customHeight="1">
      <c r="A403" s="37"/>
      <c r="B403" s="37"/>
      <c r="C403" s="37"/>
      <c r="D403" s="37"/>
      <c r="E403" s="37"/>
      <c r="F403" s="37"/>
      <c r="G403" s="37"/>
      <c r="H403" s="37"/>
      <c r="I403" s="37"/>
      <c r="J403" s="37"/>
      <c r="K403" s="37"/>
      <c r="L403" s="37"/>
      <c r="M403" s="37"/>
      <c r="N403" s="37"/>
      <c r="O403" s="37"/>
      <c r="P403" s="37"/>
      <c r="Q403" s="37"/>
      <c r="R403" s="37"/>
      <c r="S403" s="37"/>
      <c r="T403" s="37"/>
      <c r="U403" s="37"/>
      <c r="W403" s="10"/>
      <c r="X403" s="10"/>
    </row>
    <row r="404" ht="15.75" customHeight="1">
      <c r="A404" s="37"/>
      <c r="B404" s="37"/>
      <c r="C404" s="37"/>
      <c r="D404" s="37"/>
      <c r="E404" s="37"/>
      <c r="F404" s="37"/>
      <c r="G404" s="37"/>
      <c r="H404" s="37"/>
      <c r="I404" s="37"/>
      <c r="J404" s="37"/>
      <c r="K404" s="37"/>
      <c r="L404" s="37"/>
      <c r="M404" s="37"/>
      <c r="N404" s="37"/>
      <c r="O404" s="37"/>
      <c r="P404" s="37"/>
      <c r="Q404" s="37"/>
      <c r="R404" s="37"/>
      <c r="S404" s="37"/>
      <c r="T404" s="37"/>
      <c r="U404" s="37"/>
      <c r="W404" s="10"/>
      <c r="X404" s="10"/>
    </row>
    <row r="405" ht="15.75" customHeight="1">
      <c r="A405" s="37"/>
      <c r="B405" s="37"/>
      <c r="C405" s="37"/>
      <c r="D405" s="37"/>
      <c r="E405" s="37"/>
      <c r="F405" s="37"/>
      <c r="G405" s="37"/>
      <c r="H405" s="37"/>
      <c r="I405" s="37"/>
      <c r="J405" s="37"/>
      <c r="K405" s="37"/>
      <c r="L405" s="37"/>
      <c r="M405" s="37"/>
      <c r="N405" s="37"/>
      <c r="O405" s="37"/>
      <c r="P405" s="37"/>
      <c r="Q405" s="37"/>
      <c r="R405" s="37"/>
      <c r="S405" s="37"/>
      <c r="T405" s="37"/>
      <c r="U405" s="37"/>
      <c r="W405" s="10"/>
      <c r="X405" s="10"/>
    </row>
    <row r="406" ht="15.75" customHeight="1">
      <c r="A406" s="37"/>
      <c r="B406" s="37"/>
      <c r="C406" s="37"/>
      <c r="D406" s="37"/>
      <c r="E406" s="37"/>
      <c r="F406" s="37"/>
      <c r="G406" s="37"/>
      <c r="H406" s="37"/>
      <c r="I406" s="37"/>
      <c r="J406" s="37"/>
      <c r="K406" s="37"/>
      <c r="L406" s="37"/>
      <c r="M406" s="37"/>
      <c r="N406" s="37"/>
      <c r="O406" s="37"/>
      <c r="P406" s="37"/>
      <c r="Q406" s="37"/>
      <c r="R406" s="37"/>
      <c r="S406" s="37"/>
      <c r="T406" s="37"/>
      <c r="U406" s="37"/>
      <c r="W406" s="10"/>
      <c r="X406" s="10"/>
    </row>
    <row r="407" ht="15.75" customHeight="1">
      <c r="A407" s="37"/>
      <c r="B407" s="37"/>
      <c r="C407" s="37"/>
      <c r="D407" s="37"/>
      <c r="E407" s="37"/>
      <c r="F407" s="37"/>
      <c r="G407" s="37"/>
      <c r="H407" s="37"/>
      <c r="I407" s="37"/>
      <c r="J407" s="37"/>
      <c r="K407" s="37"/>
      <c r="L407" s="37"/>
      <c r="M407" s="37"/>
      <c r="N407" s="37"/>
      <c r="O407" s="37"/>
      <c r="P407" s="37"/>
      <c r="Q407" s="37"/>
      <c r="R407" s="37"/>
      <c r="S407" s="37"/>
      <c r="T407" s="37"/>
      <c r="U407" s="37"/>
      <c r="W407" s="10"/>
      <c r="X407" s="10"/>
    </row>
    <row r="408" ht="15.75" customHeight="1">
      <c r="A408" s="37"/>
      <c r="B408" s="37"/>
      <c r="C408" s="37"/>
      <c r="D408" s="37"/>
      <c r="E408" s="37"/>
      <c r="F408" s="37"/>
      <c r="G408" s="37"/>
      <c r="H408" s="37"/>
      <c r="I408" s="37"/>
      <c r="J408" s="37"/>
      <c r="K408" s="37"/>
      <c r="L408" s="37"/>
      <c r="M408" s="37"/>
      <c r="N408" s="37"/>
      <c r="O408" s="37"/>
      <c r="P408" s="37"/>
      <c r="Q408" s="37"/>
      <c r="R408" s="37"/>
      <c r="S408" s="37"/>
      <c r="T408" s="37"/>
      <c r="U408" s="37"/>
      <c r="W408" s="10"/>
      <c r="X408" s="10"/>
    </row>
    <row r="409" ht="15.75" customHeight="1">
      <c r="A409" s="37"/>
      <c r="B409" s="37"/>
      <c r="C409" s="37"/>
      <c r="D409" s="37"/>
      <c r="E409" s="37"/>
      <c r="F409" s="37"/>
      <c r="G409" s="37"/>
      <c r="H409" s="37"/>
      <c r="I409" s="37"/>
      <c r="J409" s="37"/>
      <c r="K409" s="37"/>
      <c r="L409" s="37"/>
      <c r="M409" s="37"/>
      <c r="N409" s="37"/>
      <c r="O409" s="37"/>
      <c r="P409" s="37"/>
      <c r="Q409" s="37"/>
      <c r="R409" s="37"/>
      <c r="S409" s="37"/>
      <c r="T409" s="37"/>
      <c r="U409" s="37"/>
      <c r="W409" s="10"/>
      <c r="X409" s="10"/>
    </row>
    <row r="410" ht="15.75" customHeight="1">
      <c r="A410" s="37"/>
      <c r="B410" s="37"/>
      <c r="C410" s="37"/>
      <c r="D410" s="37"/>
      <c r="E410" s="37"/>
      <c r="F410" s="37"/>
      <c r="G410" s="37"/>
      <c r="H410" s="37"/>
      <c r="I410" s="37"/>
      <c r="J410" s="37"/>
      <c r="K410" s="37"/>
      <c r="L410" s="37"/>
      <c r="M410" s="37"/>
      <c r="N410" s="37"/>
      <c r="O410" s="37"/>
      <c r="P410" s="37"/>
      <c r="Q410" s="37"/>
      <c r="R410" s="37"/>
      <c r="S410" s="37"/>
      <c r="T410" s="37"/>
      <c r="U410" s="37"/>
      <c r="W410" s="10"/>
      <c r="X410" s="10"/>
    </row>
    <row r="411" ht="15.75" customHeight="1">
      <c r="A411" s="37"/>
      <c r="B411" s="37"/>
      <c r="C411" s="37"/>
      <c r="D411" s="37"/>
      <c r="E411" s="37"/>
      <c r="F411" s="37"/>
      <c r="G411" s="37"/>
      <c r="H411" s="37"/>
      <c r="I411" s="37"/>
      <c r="J411" s="37"/>
      <c r="K411" s="37"/>
      <c r="L411" s="37"/>
      <c r="M411" s="37"/>
      <c r="N411" s="37"/>
      <c r="O411" s="37"/>
      <c r="P411" s="37"/>
      <c r="Q411" s="37"/>
      <c r="R411" s="37"/>
      <c r="S411" s="37"/>
      <c r="T411" s="37"/>
      <c r="U411" s="37"/>
      <c r="W411" s="10"/>
      <c r="X411" s="10"/>
    </row>
    <row r="412" ht="15.75" customHeight="1">
      <c r="A412" s="37"/>
      <c r="B412" s="37"/>
      <c r="C412" s="37"/>
      <c r="D412" s="37"/>
      <c r="E412" s="37"/>
      <c r="F412" s="37"/>
      <c r="G412" s="37"/>
      <c r="H412" s="37"/>
      <c r="I412" s="37"/>
      <c r="J412" s="37"/>
      <c r="K412" s="37"/>
      <c r="L412" s="37"/>
      <c r="M412" s="37"/>
      <c r="N412" s="37"/>
      <c r="O412" s="37"/>
      <c r="P412" s="37"/>
      <c r="Q412" s="37"/>
      <c r="R412" s="37"/>
      <c r="S412" s="37"/>
      <c r="T412" s="37"/>
      <c r="U412" s="37"/>
      <c r="W412" s="10"/>
      <c r="X412" s="10"/>
    </row>
    <row r="413" ht="15.75" customHeight="1">
      <c r="A413" s="37"/>
      <c r="B413" s="37"/>
      <c r="C413" s="37"/>
      <c r="D413" s="37"/>
      <c r="E413" s="37"/>
      <c r="F413" s="37"/>
      <c r="G413" s="37"/>
      <c r="H413" s="37"/>
      <c r="I413" s="37"/>
      <c r="J413" s="37"/>
      <c r="K413" s="37"/>
      <c r="L413" s="37"/>
      <c r="M413" s="37"/>
      <c r="N413" s="37"/>
      <c r="O413" s="37"/>
      <c r="P413" s="37"/>
      <c r="Q413" s="37"/>
      <c r="R413" s="37"/>
      <c r="S413" s="37"/>
      <c r="T413" s="37"/>
      <c r="U413" s="37"/>
      <c r="W413" s="10"/>
      <c r="X413" s="10"/>
    </row>
    <row r="414" ht="15.75" customHeight="1">
      <c r="A414" s="37"/>
      <c r="B414" s="37"/>
      <c r="C414" s="37"/>
      <c r="D414" s="37"/>
      <c r="E414" s="37"/>
      <c r="F414" s="37"/>
      <c r="G414" s="37"/>
      <c r="H414" s="37"/>
      <c r="I414" s="37"/>
      <c r="J414" s="37"/>
      <c r="K414" s="37"/>
      <c r="L414" s="37"/>
      <c r="M414" s="37"/>
      <c r="N414" s="37"/>
      <c r="O414" s="37"/>
      <c r="P414" s="37"/>
      <c r="Q414" s="37"/>
      <c r="R414" s="37"/>
      <c r="S414" s="37"/>
      <c r="T414" s="37"/>
      <c r="U414" s="37"/>
      <c r="W414" s="10"/>
      <c r="X414" s="10"/>
    </row>
    <row r="415" ht="15.75" customHeight="1">
      <c r="A415" s="37"/>
      <c r="B415" s="37"/>
      <c r="C415" s="37"/>
      <c r="D415" s="37"/>
      <c r="E415" s="37"/>
      <c r="F415" s="37"/>
      <c r="G415" s="37"/>
      <c r="H415" s="37"/>
      <c r="I415" s="37"/>
      <c r="J415" s="37"/>
      <c r="K415" s="37"/>
      <c r="L415" s="37"/>
      <c r="M415" s="37"/>
      <c r="N415" s="37"/>
      <c r="O415" s="37"/>
      <c r="P415" s="37"/>
      <c r="Q415" s="37"/>
      <c r="R415" s="37"/>
      <c r="S415" s="37"/>
      <c r="T415" s="37"/>
      <c r="U415" s="37"/>
      <c r="W415" s="10"/>
      <c r="X415" s="10"/>
    </row>
    <row r="416" ht="15.75" customHeight="1">
      <c r="A416" s="37"/>
      <c r="B416" s="37"/>
      <c r="C416" s="37"/>
      <c r="D416" s="37"/>
      <c r="E416" s="37"/>
      <c r="F416" s="37"/>
      <c r="G416" s="37"/>
      <c r="H416" s="37"/>
      <c r="I416" s="37"/>
      <c r="J416" s="37"/>
      <c r="K416" s="37"/>
      <c r="L416" s="37"/>
      <c r="M416" s="37"/>
      <c r="N416" s="37"/>
      <c r="O416" s="37"/>
      <c r="P416" s="37"/>
      <c r="Q416" s="37"/>
      <c r="R416" s="37"/>
      <c r="S416" s="37"/>
      <c r="T416" s="37"/>
      <c r="U416" s="37"/>
      <c r="W416" s="10"/>
      <c r="X416" s="10"/>
    </row>
    <row r="417" ht="15.75" customHeight="1">
      <c r="A417" s="37"/>
      <c r="B417" s="37"/>
      <c r="C417" s="37"/>
      <c r="D417" s="37"/>
      <c r="E417" s="37"/>
      <c r="F417" s="37"/>
      <c r="G417" s="37"/>
      <c r="H417" s="37"/>
      <c r="I417" s="37"/>
      <c r="J417" s="37"/>
      <c r="K417" s="37"/>
      <c r="L417" s="37"/>
      <c r="M417" s="37"/>
      <c r="N417" s="37"/>
      <c r="O417" s="37"/>
      <c r="P417" s="37"/>
      <c r="Q417" s="37"/>
      <c r="R417" s="37"/>
      <c r="S417" s="37"/>
      <c r="T417" s="37"/>
      <c r="U417" s="37"/>
      <c r="W417" s="10"/>
      <c r="X417" s="10"/>
    </row>
    <row r="418" ht="15.75" customHeight="1">
      <c r="A418" s="37"/>
      <c r="B418" s="37"/>
      <c r="C418" s="37"/>
      <c r="D418" s="37"/>
      <c r="E418" s="37"/>
      <c r="F418" s="37"/>
      <c r="G418" s="37"/>
      <c r="H418" s="37"/>
      <c r="I418" s="37"/>
      <c r="J418" s="37"/>
      <c r="K418" s="37"/>
      <c r="L418" s="37"/>
      <c r="M418" s="37"/>
      <c r="N418" s="37"/>
      <c r="O418" s="37"/>
      <c r="P418" s="37"/>
      <c r="Q418" s="37"/>
      <c r="R418" s="37"/>
      <c r="S418" s="37"/>
      <c r="T418" s="37"/>
      <c r="U418" s="37"/>
      <c r="W418" s="10"/>
      <c r="X418" s="10"/>
    </row>
    <row r="419" ht="15.75" customHeight="1">
      <c r="A419" s="37"/>
      <c r="B419" s="37"/>
      <c r="C419" s="37"/>
      <c r="D419" s="37"/>
      <c r="E419" s="37"/>
      <c r="F419" s="37"/>
      <c r="G419" s="37"/>
      <c r="H419" s="37"/>
      <c r="I419" s="37"/>
      <c r="J419" s="37"/>
      <c r="K419" s="37"/>
      <c r="L419" s="37"/>
      <c r="M419" s="37"/>
      <c r="N419" s="37"/>
      <c r="O419" s="37"/>
      <c r="P419" s="37"/>
      <c r="Q419" s="37"/>
      <c r="R419" s="37"/>
      <c r="S419" s="37"/>
      <c r="T419" s="37"/>
      <c r="U419" s="37"/>
      <c r="W419" s="10"/>
      <c r="X419" s="10"/>
    </row>
    <row r="420" ht="15.75" customHeight="1">
      <c r="A420" s="37"/>
      <c r="B420" s="37"/>
      <c r="C420" s="37"/>
      <c r="D420" s="37"/>
      <c r="E420" s="37"/>
      <c r="F420" s="37"/>
      <c r="G420" s="37"/>
      <c r="H420" s="37"/>
      <c r="I420" s="37"/>
      <c r="J420" s="37"/>
      <c r="K420" s="37"/>
      <c r="L420" s="37"/>
      <c r="M420" s="37"/>
      <c r="N420" s="37"/>
      <c r="O420" s="37"/>
      <c r="P420" s="37"/>
      <c r="Q420" s="37"/>
      <c r="R420" s="37"/>
      <c r="S420" s="37"/>
      <c r="T420" s="37"/>
      <c r="U420" s="37"/>
      <c r="W420" s="10"/>
      <c r="X420" s="10"/>
    </row>
    <row r="421" ht="15.75" customHeight="1">
      <c r="A421" s="37"/>
      <c r="B421" s="37"/>
      <c r="C421" s="37"/>
      <c r="D421" s="37"/>
      <c r="E421" s="37"/>
      <c r="F421" s="37"/>
      <c r="G421" s="37"/>
      <c r="H421" s="37"/>
      <c r="I421" s="37"/>
      <c r="J421" s="37"/>
      <c r="K421" s="37"/>
      <c r="L421" s="37"/>
      <c r="M421" s="37"/>
      <c r="N421" s="37"/>
      <c r="O421" s="37"/>
      <c r="P421" s="37"/>
      <c r="Q421" s="37"/>
      <c r="R421" s="37"/>
      <c r="S421" s="37"/>
      <c r="T421" s="37"/>
      <c r="U421" s="37"/>
      <c r="W421" s="10"/>
      <c r="X421" s="10"/>
    </row>
    <row r="422" ht="15.75" customHeight="1">
      <c r="A422" s="37"/>
      <c r="B422" s="37"/>
      <c r="C422" s="37"/>
      <c r="D422" s="37"/>
      <c r="E422" s="37"/>
      <c r="F422" s="37"/>
      <c r="G422" s="37"/>
      <c r="H422" s="37"/>
      <c r="I422" s="37"/>
      <c r="J422" s="37"/>
      <c r="K422" s="37"/>
      <c r="L422" s="37"/>
      <c r="M422" s="37"/>
      <c r="N422" s="37"/>
      <c r="O422" s="37"/>
      <c r="P422" s="37"/>
      <c r="Q422" s="37"/>
      <c r="R422" s="37"/>
      <c r="S422" s="37"/>
      <c r="T422" s="37"/>
      <c r="U422" s="37"/>
      <c r="W422" s="10"/>
      <c r="X422" s="10"/>
    </row>
    <row r="423" ht="15.75" customHeight="1">
      <c r="A423" s="37"/>
      <c r="B423" s="37"/>
      <c r="C423" s="37"/>
      <c r="D423" s="37"/>
      <c r="E423" s="37"/>
      <c r="F423" s="37"/>
      <c r="G423" s="37"/>
      <c r="H423" s="37"/>
      <c r="I423" s="37"/>
      <c r="J423" s="37"/>
      <c r="K423" s="37"/>
      <c r="L423" s="37"/>
      <c r="M423" s="37"/>
      <c r="N423" s="37"/>
      <c r="O423" s="37"/>
      <c r="P423" s="37"/>
      <c r="Q423" s="37"/>
      <c r="R423" s="37"/>
      <c r="S423" s="37"/>
      <c r="T423" s="37"/>
      <c r="U423" s="37"/>
      <c r="W423" s="10"/>
      <c r="X423" s="10"/>
    </row>
    <row r="424" ht="15.75" customHeight="1">
      <c r="A424" s="37"/>
      <c r="B424" s="37"/>
      <c r="C424" s="37"/>
      <c r="D424" s="37"/>
      <c r="E424" s="37"/>
      <c r="F424" s="37"/>
      <c r="G424" s="37"/>
      <c r="H424" s="37"/>
      <c r="I424" s="37"/>
      <c r="J424" s="37"/>
      <c r="K424" s="37"/>
      <c r="L424" s="37"/>
      <c r="M424" s="37"/>
      <c r="N424" s="37"/>
      <c r="O424" s="37"/>
      <c r="P424" s="37"/>
      <c r="Q424" s="37"/>
      <c r="R424" s="37"/>
      <c r="S424" s="37"/>
      <c r="T424" s="37"/>
      <c r="U424" s="37"/>
      <c r="W424" s="10"/>
      <c r="X424" s="10"/>
    </row>
    <row r="425" ht="15.75" customHeight="1">
      <c r="A425" s="37"/>
      <c r="B425" s="37"/>
      <c r="C425" s="37"/>
      <c r="D425" s="37"/>
      <c r="E425" s="37"/>
      <c r="F425" s="37"/>
      <c r="G425" s="37"/>
      <c r="H425" s="37"/>
      <c r="I425" s="37"/>
      <c r="J425" s="37"/>
      <c r="K425" s="37"/>
      <c r="L425" s="37"/>
      <c r="M425" s="37"/>
      <c r="N425" s="37"/>
      <c r="O425" s="37"/>
      <c r="P425" s="37"/>
      <c r="Q425" s="37"/>
      <c r="R425" s="37"/>
      <c r="S425" s="37"/>
      <c r="T425" s="37"/>
      <c r="U425" s="37"/>
      <c r="W425" s="10"/>
      <c r="X425" s="10"/>
    </row>
    <row r="426" ht="15.75" customHeight="1">
      <c r="A426" s="37"/>
      <c r="B426" s="37"/>
      <c r="C426" s="37"/>
      <c r="D426" s="37"/>
      <c r="E426" s="37"/>
      <c r="F426" s="37"/>
      <c r="G426" s="37"/>
      <c r="H426" s="37"/>
      <c r="I426" s="37"/>
      <c r="J426" s="37"/>
      <c r="K426" s="37"/>
      <c r="L426" s="37"/>
      <c r="M426" s="37"/>
      <c r="N426" s="37"/>
      <c r="O426" s="37"/>
      <c r="P426" s="37"/>
      <c r="Q426" s="37"/>
      <c r="R426" s="37"/>
      <c r="S426" s="37"/>
      <c r="T426" s="37"/>
      <c r="U426" s="37"/>
      <c r="W426" s="10"/>
      <c r="X426" s="10"/>
    </row>
    <row r="427" ht="15.75" customHeight="1">
      <c r="A427" s="37"/>
      <c r="B427" s="37"/>
      <c r="C427" s="37"/>
      <c r="D427" s="37"/>
      <c r="E427" s="37"/>
      <c r="F427" s="37"/>
      <c r="G427" s="37"/>
      <c r="H427" s="37"/>
      <c r="I427" s="37"/>
      <c r="J427" s="37"/>
      <c r="K427" s="37"/>
      <c r="L427" s="37"/>
      <c r="M427" s="37"/>
      <c r="N427" s="37"/>
      <c r="O427" s="37"/>
      <c r="P427" s="37"/>
      <c r="Q427" s="37"/>
      <c r="R427" s="37"/>
      <c r="S427" s="37"/>
      <c r="T427" s="37"/>
      <c r="U427" s="37"/>
      <c r="W427" s="10"/>
      <c r="X427" s="10"/>
    </row>
    <row r="428" ht="15.75" customHeight="1">
      <c r="A428" s="37"/>
      <c r="B428" s="37"/>
      <c r="C428" s="37"/>
      <c r="D428" s="37"/>
      <c r="E428" s="37"/>
      <c r="F428" s="37"/>
      <c r="G428" s="37"/>
      <c r="H428" s="37"/>
      <c r="I428" s="37"/>
      <c r="J428" s="37"/>
      <c r="K428" s="37"/>
      <c r="L428" s="37"/>
      <c r="M428" s="37"/>
      <c r="N428" s="37"/>
      <c r="O428" s="37"/>
      <c r="P428" s="37"/>
      <c r="Q428" s="37"/>
      <c r="R428" s="37"/>
      <c r="S428" s="37"/>
      <c r="T428" s="37"/>
      <c r="U428" s="37"/>
      <c r="W428" s="10"/>
      <c r="X428" s="10"/>
    </row>
    <row r="429" ht="15.75" customHeight="1">
      <c r="A429" s="37"/>
      <c r="B429" s="37"/>
      <c r="C429" s="37"/>
      <c r="D429" s="37"/>
      <c r="E429" s="37"/>
      <c r="F429" s="37"/>
      <c r="G429" s="37"/>
      <c r="H429" s="37"/>
      <c r="I429" s="37"/>
      <c r="J429" s="37"/>
      <c r="K429" s="37"/>
      <c r="L429" s="37"/>
      <c r="M429" s="37"/>
      <c r="N429" s="37"/>
      <c r="O429" s="37"/>
      <c r="P429" s="37"/>
      <c r="Q429" s="37"/>
      <c r="R429" s="37"/>
      <c r="S429" s="37"/>
      <c r="T429" s="37"/>
      <c r="U429" s="37"/>
      <c r="W429" s="10"/>
      <c r="X429" s="10"/>
    </row>
    <row r="430" ht="15.75" customHeight="1">
      <c r="A430" s="37"/>
      <c r="B430" s="37"/>
      <c r="C430" s="37"/>
      <c r="D430" s="37"/>
      <c r="E430" s="37"/>
      <c r="F430" s="37"/>
      <c r="G430" s="37"/>
      <c r="H430" s="37"/>
      <c r="I430" s="37"/>
      <c r="J430" s="37"/>
      <c r="K430" s="37"/>
      <c r="L430" s="37"/>
      <c r="M430" s="37"/>
      <c r="N430" s="37"/>
      <c r="O430" s="37"/>
      <c r="P430" s="37"/>
      <c r="Q430" s="37"/>
      <c r="R430" s="37"/>
      <c r="S430" s="37"/>
      <c r="T430" s="37"/>
      <c r="U430" s="37"/>
      <c r="W430" s="10"/>
      <c r="X430" s="10"/>
    </row>
    <row r="431" ht="15.75" customHeight="1">
      <c r="A431" s="37"/>
      <c r="B431" s="37"/>
      <c r="C431" s="37"/>
      <c r="D431" s="37"/>
      <c r="E431" s="37"/>
      <c r="F431" s="37"/>
      <c r="G431" s="37"/>
      <c r="H431" s="37"/>
      <c r="I431" s="37"/>
      <c r="J431" s="37"/>
      <c r="K431" s="37"/>
      <c r="L431" s="37"/>
      <c r="M431" s="37"/>
      <c r="N431" s="37"/>
      <c r="O431" s="37"/>
      <c r="P431" s="37"/>
      <c r="Q431" s="37"/>
      <c r="R431" s="37"/>
      <c r="S431" s="37"/>
      <c r="T431" s="37"/>
      <c r="U431" s="37"/>
      <c r="W431" s="10"/>
      <c r="X431" s="10"/>
    </row>
    <row r="432" ht="15.75" customHeight="1">
      <c r="A432" s="37"/>
      <c r="B432" s="37"/>
      <c r="C432" s="37"/>
      <c r="D432" s="37"/>
      <c r="E432" s="37"/>
      <c r="F432" s="37"/>
      <c r="G432" s="37"/>
      <c r="H432" s="37"/>
      <c r="I432" s="37"/>
      <c r="J432" s="37"/>
      <c r="K432" s="37"/>
      <c r="L432" s="37"/>
      <c r="M432" s="37"/>
      <c r="N432" s="37"/>
      <c r="O432" s="37"/>
      <c r="P432" s="37"/>
      <c r="Q432" s="37"/>
      <c r="R432" s="37"/>
      <c r="S432" s="37"/>
      <c r="T432" s="37"/>
      <c r="U432" s="37"/>
      <c r="W432" s="10"/>
      <c r="X432" s="10"/>
    </row>
    <row r="433" ht="15.75" customHeight="1">
      <c r="A433" s="37"/>
      <c r="B433" s="37"/>
      <c r="C433" s="37"/>
      <c r="D433" s="37"/>
      <c r="E433" s="37"/>
      <c r="F433" s="37"/>
      <c r="G433" s="37"/>
      <c r="H433" s="37"/>
      <c r="I433" s="37"/>
      <c r="J433" s="37"/>
      <c r="K433" s="37"/>
      <c r="L433" s="37"/>
      <c r="M433" s="37"/>
      <c r="N433" s="37"/>
      <c r="O433" s="37"/>
      <c r="P433" s="37"/>
      <c r="Q433" s="37"/>
      <c r="R433" s="37"/>
      <c r="S433" s="37"/>
      <c r="T433" s="37"/>
      <c r="U433" s="37"/>
      <c r="W433" s="10"/>
      <c r="X433" s="10"/>
    </row>
    <row r="434" ht="15.75" customHeight="1">
      <c r="A434" s="37"/>
      <c r="B434" s="37"/>
      <c r="C434" s="37"/>
      <c r="D434" s="37"/>
      <c r="E434" s="37"/>
      <c r="F434" s="37"/>
      <c r="G434" s="37"/>
      <c r="H434" s="37"/>
      <c r="I434" s="37"/>
      <c r="J434" s="37"/>
      <c r="K434" s="37"/>
      <c r="L434" s="37"/>
      <c r="M434" s="37"/>
      <c r="N434" s="37"/>
      <c r="O434" s="37"/>
      <c r="P434" s="37"/>
      <c r="Q434" s="37"/>
      <c r="R434" s="37"/>
      <c r="S434" s="37"/>
      <c r="T434" s="37"/>
      <c r="U434" s="37"/>
      <c r="W434" s="10"/>
      <c r="X434" s="10"/>
    </row>
    <row r="435" ht="15.75" customHeight="1">
      <c r="A435" s="37"/>
      <c r="B435" s="37"/>
      <c r="C435" s="37"/>
      <c r="D435" s="37"/>
      <c r="E435" s="37"/>
      <c r="F435" s="37"/>
      <c r="G435" s="37"/>
      <c r="H435" s="37"/>
      <c r="I435" s="37"/>
      <c r="J435" s="37"/>
      <c r="K435" s="37"/>
      <c r="L435" s="37"/>
      <c r="M435" s="37"/>
      <c r="N435" s="37"/>
      <c r="O435" s="37"/>
      <c r="P435" s="37"/>
      <c r="Q435" s="37"/>
      <c r="R435" s="37"/>
      <c r="S435" s="37"/>
      <c r="T435" s="37"/>
      <c r="U435" s="37"/>
      <c r="W435" s="10"/>
      <c r="X435" s="10"/>
    </row>
    <row r="436" ht="15.75" customHeight="1">
      <c r="A436" s="37"/>
      <c r="B436" s="37"/>
      <c r="C436" s="37"/>
      <c r="D436" s="37"/>
      <c r="E436" s="37"/>
      <c r="F436" s="37"/>
      <c r="G436" s="37"/>
      <c r="H436" s="37"/>
      <c r="I436" s="37"/>
      <c r="J436" s="37"/>
      <c r="K436" s="37"/>
      <c r="L436" s="37"/>
      <c r="M436" s="37"/>
      <c r="N436" s="37"/>
      <c r="O436" s="37"/>
      <c r="P436" s="37"/>
      <c r="Q436" s="37"/>
      <c r="R436" s="37"/>
      <c r="S436" s="37"/>
      <c r="T436" s="37"/>
      <c r="U436" s="37"/>
      <c r="W436" s="10"/>
      <c r="X436" s="10"/>
    </row>
    <row r="437" ht="15.75" customHeight="1">
      <c r="A437" s="37"/>
      <c r="B437" s="37"/>
      <c r="C437" s="37"/>
      <c r="D437" s="37"/>
      <c r="E437" s="37"/>
      <c r="F437" s="37"/>
      <c r="G437" s="37"/>
      <c r="H437" s="37"/>
      <c r="I437" s="37"/>
      <c r="J437" s="37"/>
      <c r="K437" s="37"/>
      <c r="L437" s="37"/>
      <c r="M437" s="37"/>
      <c r="N437" s="37"/>
      <c r="O437" s="37"/>
      <c r="P437" s="37"/>
      <c r="Q437" s="37"/>
      <c r="R437" s="37"/>
      <c r="S437" s="37"/>
      <c r="T437" s="37"/>
      <c r="U437" s="37"/>
      <c r="W437" s="10"/>
      <c r="X437" s="10"/>
    </row>
    <row r="438" ht="15.75" customHeight="1">
      <c r="A438" s="37"/>
      <c r="B438" s="37"/>
      <c r="C438" s="37"/>
      <c r="D438" s="37"/>
      <c r="E438" s="37"/>
      <c r="F438" s="37"/>
      <c r="G438" s="37"/>
      <c r="H438" s="37"/>
      <c r="I438" s="37"/>
      <c r="J438" s="37"/>
      <c r="K438" s="37"/>
      <c r="L438" s="37"/>
      <c r="M438" s="37"/>
      <c r="N438" s="37"/>
      <c r="O438" s="37"/>
      <c r="P438" s="37"/>
      <c r="Q438" s="37"/>
      <c r="R438" s="37"/>
      <c r="S438" s="37"/>
      <c r="T438" s="37"/>
      <c r="U438" s="37"/>
      <c r="W438" s="10"/>
      <c r="X438" s="10"/>
    </row>
    <row r="439" ht="15.75" customHeight="1">
      <c r="A439" s="37"/>
      <c r="B439" s="37"/>
      <c r="C439" s="37"/>
      <c r="D439" s="37"/>
      <c r="E439" s="37"/>
      <c r="F439" s="37"/>
      <c r="G439" s="37"/>
      <c r="H439" s="37"/>
      <c r="I439" s="37"/>
      <c r="J439" s="37"/>
      <c r="K439" s="37"/>
      <c r="L439" s="37"/>
      <c r="M439" s="37"/>
      <c r="N439" s="37"/>
      <c r="O439" s="37"/>
      <c r="P439" s="37"/>
      <c r="Q439" s="37"/>
      <c r="R439" s="37"/>
      <c r="S439" s="37"/>
      <c r="T439" s="37"/>
      <c r="U439" s="37"/>
      <c r="W439" s="10"/>
      <c r="X439" s="10"/>
    </row>
    <row r="440" ht="15.75" customHeight="1">
      <c r="A440" s="37"/>
      <c r="B440" s="37"/>
      <c r="C440" s="37"/>
      <c r="D440" s="37"/>
      <c r="E440" s="37"/>
      <c r="F440" s="37"/>
      <c r="G440" s="37"/>
      <c r="H440" s="37"/>
      <c r="I440" s="37"/>
      <c r="J440" s="37"/>
      <c r="K440" s="37"/>
      <c r="L440" s="37"/>
      <c r="M440" s="37"/>
      <c r="N440" s="37"/>
      <c r="O440" s="37"/>
      <c r="P440" s="37"/>
      <c r="Q440" s="37"/>
      <c r="R440" s="37"/>
      <c r="S440" s="37"/>
      <c r="T440" s="37"/>
      <c r="U440" s="37"/>
      <c r="W440" s="10"/>
      <c r="X440" s="10"/>
    </row>
    <row r="441" ht="15.75" customHeight="1">
      <c r="A441" s="37"/>
      <c r="B441" s="37"/>
      <c r="C441" s="37"/>
      <c r="D441" s="37"/>
      <c r="E441" s="37"/>
      <c r="F441" s="37"/>
      <c r="G441" s="37"/>
      <c r="H441" s="37"/>
      <c r="I441" s="37"/>
      <c r="J441" s="37"/>
      <c r="K441" s="37"/>
      <c r="L441" s="37"/>
      <c r="M441" s="37"/>
      <c r="N441" s="37"/>
      <c r="O441" s="37"/>
      <c r="P441" s="37"/>
      <c r="Q441" s="37"/>
      <c r="R441" s="37"/>
      <c r="S441" s="37"/>
      <c r="T441" s="37"/>
      <c r="U441" s="37"/>
      <c r="W441" s="10"/>
      <c r="X441" s="10"/>
    </row>
    <row r="442" ht="15.75" customHeight="1">
      <c r="A442" s="37"/>
      <c r="B442" s="37"/>
      <c r="C442" s="37"/>
      <c r="D442" s="37"/>
      <c r="E442" s="37"/>
      <c r="F442" s="37"/>
      <c r="G442" s="37"/>
      <c r="H442" s="37"/>
      <c r="I442" s="37"/>
      <c r="J442" s="37"/>
      <c r="K442" s="37"/>
      <c r="L442" s="37"/>
      <c r="M442" s="37"/>
      <c r="N442" s="37"/>
      <c r="O442" s="37"/>
      <c r="P442" s="37"/>
      <c r="Q442" s="37"/>
      <c r="R442" s="37"/>
      <c r="S442" s="37"/>
      <c r="T442" s="37"/>
      <c r="U442" s="37"/>
      <c r="W442" s="10"/>
      <c r="X442" s="10"/>
    </row>
    <row r="443" ht="15.75" customHeight="1">
      <c r="A443" s="37"/>
      <c r="B443" s="37"/>
      <c r="C443" s="37"/>
      <c r="D443" s="37"/>
      <c r="E443" s="37"/>
      <c r="F443" s="37"/>
      <c r="G443" s="37"/>
      <c r="H443" s="37"/>
      <c r="I443" s="37"/>
      <c r="J443" s="37"/>
      <c r="K443" s="37"/>
      <c r="L443" s="37"/>
      <c r="M443" s="37"/>
      <c r="N443" s="37"/>
      <c r="O443" s="37"/>
      <c r="P443" s="37"/>
      <c r="Q443" s="37"/>
      <c r="R443" s="37"/>
      <c r="S443" s="37"/>
      <c r="T443" s="37"/>
      <c r="U443" s="37"/>
      <c r="W443" s="10"/>
      <c r="X443" s="10"/>
    </row>
    <row r="444" ht="15.75" customHeight="1">
      <c r="A444" s="37"/>
      <c r="B444" s="37"/>
      <c r="C444" s="37"/>
      <c r="D444" s="37"/>
      <c r="E444" s="37"/>
      <c r="F444" s="37"/>
      <c r="G444" s="37"/>
      <c r="H444" s="37"/>
      <c r="I444" s="37"/>
      <c r="J444" s="37"/>
      <c r="K444" s="37"/>
      <c r="L444" s="37"/>
      <c r="M444" s="37"/>
      <c r="N444" s="37"/>
      <c r="O444" s="37"/>
      <c r="P444" s="37"/>
      <c r="Q444" s="37"/>
      <c r="R444" s="37"/>
      <c r="S444" s="37"/>
      <c r="T444" s="37"/>
      <c r="U444" s="37"/>
      <c r="W444" s="10"/>
      <c r="X444" s="10"/>
    </row>
    <row r="445" ht="15.75" customHeight="1">
      <c r="A445" s="37"/>
      <c r="B445" s="37"/>
      <c r="C445" s="37"/>
      <c r="D445" s="37"/>
      <c r="E445" s="37"/>
      <c r="F445" s="37"/>
      <c r="G445" s="37"/>
      <c r="H445" s="37"/>
      <c r="I445" s="37"/>
      <c r="J445" s="37"/>
      <c r="K445" s="37"/>
      <c r="L445" s="37"/>
      <c r="M445" s="37"/>
      <c r="N445" s="37"/>
      <c r="O445" s="37"/>
      <c r="P445" s="37"/>
      <c r="Q445" s="37"/>
      <c r="R445" s="37"/>
      <c r="S445" s="37"/>
      <c r="T445" s="37"/>
      <c r="U445" s="37"/>
      <c r="W445" s="10"/>
      <c r="X445" s="10"/>
    </row>
    <row r="446" ht="15.75" customHeight="1">
      <c r="A446" s="37"/>
      <c r="B446" s="37"/>
      <c r="C446" s="37"/>
      <c r="D446" s="37"/>
      <c r="E446" s="37"/>
      <c r="F446" s="37"/>
      <c r="G446" s="37"/>
      <c r="H446" s="37"/>
      <c r="I446" s="37"/>
      <c r="J446" s="37"/>
      <c r="K446" s="37"/>
      <c r="L446" s="37"/>
      <c r="M446" s="37"/>
      <c r="N446" s="37"/>
      <c r="O446" s="37"/>
      <c r="P446" s="37"/>
      <c r="Q446" s="37"/>
      <c r="R446" s="37"/>
      <c r="S446" s="37"/>
      <c r="T446" s="37"/>
      <c r="U446" s="37"/>
      <c r="W446" s="10"/>
      <c r="X446" s="10"/>
    </row>
    <row r="447" ht="15.75" customHeight="1">
      <c r="A447" s="37"/>
      <c r="B447" s="37"/>
      <c r="C447" s="37"/>
      <c r="D447" s="37"/>
      <c r="E447" s="37"/>
      <c r="F447" s="37"/>
      <c r="G447" s="37"/>
      <c r="H447" s="37"/>
      <c r="I447" s="37"/>
      <c r="J447" s="37"/>
      <c r="K447" s="37"/>
      <c r="L447" s="37"/>
      <c r="M447" s="37"/>
      <c r="N447" s="37"/>
      <c r="O447" s="37"/>
      <c r="P447" s="37"/>
      <c r="Q447" s="37"/>
      <c r="R447" s="37"/>
      <c r="S447" s="37"/>
      <c r="T447" s="37"/>
      <c r="U447" s="37"/>
      <c r="W447" s="10"/>
      <c r="X447" s="10"/>
    </row>
    <row r="448" ht="15.75" customHeight="1">
      <c r="A448" s="37"/>
      <c r="B448" s="37"/>
      <c r="C448" s="37"/>
      <c r="D448" s="37"/>
      <c r="E448" s="37"/>
      <c r="F448" s="37"/>
      <c r="G448" s="37"/>
      <c r="H448" s="37"/>
      <c r="I448" s="37"/>
      <c r="J448" s="37"/>
      <c r="K448" s="37"/>
      <c r="L448" s="37"/>
      <c r="M448" s="37"/>
      <c r="N448" s="37"/>
      <c r="O448" s="37"/>
      <c r="P448" s="37"/>
      <c r="Q448" s="37"/>
      <c r="R448" s="37"/>
      <c r="S448" s="37"/>
      <c r="T448" s="37"/>
      <c r="U448" s="37"/>
      <c r="W448" s="10"/>
      <c r="X448" s="10"/>
    </row>
    <row r="449" ht="15.75" customHeight="1">
      <c r="A449" s="37"/>
      <c r="B449" s="37"/>
      <c r="C449" s="37"/>
      <c r="D449" s="37"/>
      <c r="E449" s="37"/>
      <c r="F449" s="37"/>
      <c r="G449" s="37"/>
      <c r="H449" s="37"/>
      <c r="I449" s="37"/>
      <c r="J449" s="37"/>
      <c r="K449" s="37"/>
      <c r="L449" s="37"/>
      <c r="M449" s="37"/>
      <c r="N449" s="37"/>
      <c r="O449" s="37"/>
      <c r="P449" s="37"/>
      <c r="Q449" s="37"/>
      <c r="R449" s="37"/>
      <c r="S449" s="37"/>
      <c r="T449" s="37"/>
      <c r="U449" s="37"/>
      <c r="W449" s="10"/>
      <c r="X449" s="10"/>
    </row>
    <row r="450" ht="15.75" customHeight="1">
      <c r="A450" s="37"/>
      <c r="B450" s="37"/>
      <c r="C450" s="37"/>
      <c r="D450" s="37"/>
      <c r="E450" s="37"/>
      <c r="F450" s="37"/>
      <c r="G450" s="37"/>
      <c r="H450" s="37"/>
      <c r="I450" s="37"/>
      <c r="J450" s="37"/>
      <c r="K450" s="37"/>
      <c r="L450" s="37"/>
      <c r="M450" s="37"/>
      <c r="N450" s="37"/>
      <c r="O450" s="37"/>
      <c r="P450" s="37"/>
      <c r="Q450" s="37"/>
      <c r="R450" s="37"/>
      <c r="S450" s="37"/>
      <c r="T450" s="37"/>
      <c r="U450" s="37"/>
      <c r="W450" s="10"/>
      <c r="X450" s="10"/>
    </row>
    <row r="451" ht="15.75" customHeight="1">
      <c r="A451" s="37"/>
      <c r="B451" s="37"/>
      <c r="C451" s="37"/>
      <c r="D451" s="37"/>
      <c r="E451" s="37"/>
      <c r="F451" s="37"/>
      <c r="G451" s="37"/>
      <c r="H451" s="37"/>
      <c r="I451" s="37"/>
      <c r="J451" s="37"/>
      <c r="K451" s="37"/>
      <c r="L451" s="37"/>
      <c r="M451" s="37"/>
      <c r="N451" s="37"/>
      <c r="O451" s="37"/>
      <c r="P451" s="37"/>
      <c r="Q451" s="37"/>
      <c r="R451" s="37"/>
      <c r="S451" s="37"/>
      <c r="T451" s="37"/>
      <c r="U451" s="37"/>
      <c r="W451" s="10"/>
      <c r="X451" s="10"/>
    </row>
    <row r="452" ht="15.75" customHeight="1">
      <c r="A452" s="37"/>
      <c r="B452" s="37"/>
      <c r="C452" s="37"/>
      <c r="D452" s="37"/>
      <c r="E452" s="37"/>
      <c r="F452" s="37"/>
      <c r="G452" s="37"/>
      <c r="H452" s="37"/>
      <c r="I452" s="37"/>
      <c r="J452" s="37"/>
      <c r="K452" s="37"/>
      <c r="L452" s="37"/>
      <c r="M452" s="37"/>
      <c r="N452" s="37"/>
      <c r="O452" s="37"/>
      <c r="P452" s="37"/>
      <c r="Q452" s="37"/>
      <c r="R452" s="37"/>
      <c r="S452" s="37"/>
      <c r="T452" s="37"/>
      <c r="U452" s="37"/>
      <c r="W452" s="10"/>
      <c r="X452" s="10"/>
    </row>
    <row r="453" ht="15.75" customHeight="1">
      <c r="A453" s="37"/>
      <c r="B453" s="37"/>
      <c r="C453" s="37"/>
      <c r="D453" s="37"/>
      <c r="E453" s="37"/>
      <c r="F453" s="37"/>
      <c r="G453" s="37"/>
      <c r="H453" s="37"/>
      <c r="I453" s="37"/>
      <c r="J453" s="37"/>
      <c r="K453" s="37"/>
      <c r="L453" s="37"/>
      <c r="M453" s="37"/>
      <c r="N453" s="37"/>
      <c r="O453" s="37"/>
      <c r="P453" s="37"/>
      <c r="Q453" s="37"/>
      <c r="R453" s="37"/>
      <c r="S453" s="37"/>
      <c r="T453" s="37"/>
      <c r="U453" s="37"/>
      <c r="W453" s="10"/>
      <c r="X453" s="10"/>
    </row>
    <row r="454" ht="15.75" customHeight="1">
      <c r="A454" s="37"/>
      <c r="B454" s="37"/>
      <c r="C454" s="37"/>
      <c r="D454" s="37"/>
      <c r="E454" s="37"/>
      <c r="F454" s="37"/>
      <c r="G454" s="37"/>
      <c r="H454" s="37"/>
      <c r="I454" s="37"/>
      <c r="J454" s="37"/>
      <c r="K454" s="37"/>
      <c r="L454" s="37"/>
      <c r="M454" s="37"/>
      <c r="N454" s="37"/>
      <c r="O454" s="37"/>
      <c r="P454" s="37"/>
      <c r="Q454" s="37"/>
      <c r="R454" s="37"/>
      <c r="S454" s="37"/>
      <c r="T454" s="37"/>
      <c r="U454" s="37"/>
      <c r="W454" s="10"/>
      <c r="X454" s="10"/>
    </row>
    <row r="455" ht="15.75" customHeight="1">
      <c r="A455" s="37"/>
      <c r="B455" s="37"/>
      <c r="C455" s="37"/>
      <c r="D455" s="37"/>
      <c r="E455" s="37"/>
      <c r="F455" s="37"/>
      <c r="G455" s="37"/>
      <c r="H455" s="37"/>
      <c r="I455" s="37"/>
      <c r="J455" s="37"/>
      <c r="K455" s="37"/>
      <c r="L455" s="37"/>
      <c r="M455" s="37"/>
      <c r="N455" s="37"/>
      <c r="O455" s="37"/>
      <c r="P455" s="37"/>
      <c r="Q455" s="37"/>
      <c r="R455" s="37"/>
      <c r="S455" s="37"/>
      <c r="T455" s="37"/>
      <c r="U455" s="37"/>
      <c r="W455" s="10"/>
      <c r="X455" s="10"/>
    </row>
    <row r="456" ht="15.75" customHeight="1">
      <c r="A456" s="37"/>
      <c r="B456" s="37"/>
      <c r="C456" s="37"/>
      <c r="D456" s="37"/>
      <c r="E456" s="37"/>
      <c r="F456" s="37"/>
      <c r="G456" s="37"/>
      <c r="H456" s="37"/>
      <c r="I456" s="37"/>
      <c r="J456" s="37"/>
      <c r="K456" s="37"/>
      <c r="L456" s="37"/>
      <c r="M456" s="37"/>
      <c r="N456" s="37"/>
      <c r="O456" s="37"/>
      <c r="P456" s="37"/>
      <c r="Q456" s="37"/>
      <c r="R456" s="37"/>
      <c r="S456" s="37"/>
      <c r="T456" s="37"/>
      <c r="U456" s="37"/>
      <c r="W456" s="10"/>
      <c r="X456" s="10"/>
    </row>
    <row r="457" ht="15.75" customHeight="1">
      <c r="A457" s="37"/>
      <c r="B457" s="37"/>
      <c r="C457" s="37"/>
      <c r="D457" s="37"/>
      <c r="E457" s="37"/>
      <c r="F457" s="37"/>
      <c r="G457" s="37"/>
      <c r="H457" s="37"/>
      <c r="I457" s="37"/>
      <c r="J457" s="37"/>
      <c r="K457" s="37"/>
      <c r="L457" s="37"/>
      <c r="M457" s="37"/>
      <c r="N457" s="37"/>
      <c r="O457" s="37"/>
      <c r="P457" s="37"/>
      <c r="Q457" s="37"/>
      <c r="R457" s="37"/>
      <c r="S457" s="37"/>
      <c r="T457" s="37"/>
      <c r="U457" s="37"/>
      <c r="W457" s="10"/>
      <c r="X457" s="10"/>
    </row>
    <row r="458" ht="15.75" customHeight="1">
      <c r="A458" s="37"/>
      <c r="B458" s="37"/>
      <c r="C458" s="37"/>
      <c r="D458" s="37"/>
      <c r="E458" s="37"/>
      <c r="F458" s="37"/>
      <c r="G458" s="37"/>
      <c r="H458" s="37"/>
      <c r="I458" s="37"/>
      <c r="J458" s="37"/>
      <c r="K458" s="37"/>
      <c r="L458" s="37"/>
      <c r="M458" s="37"/>
      <c r="N458" s="37"/>
      <c r="O458" s="37"/>
      <c r="P458" s="37"/>
      <c r="Q458" s="37"/>
      <c r="R458" s="37"/>
      <c r="S458" s="37"/>
      <c r="T458" s="37"/>
      <c r="U458" s="37"/>
      <c r="W458" s="10"/>
      <c r="X458" s="10"/>
    </row>
    <row r="459" ht="15.75" customHeight="1">
      <c r="A459" s="37"/>
      <c r="B459" s="37"/>
      <c r="C459" s="37"/>
      <c r="D459" s="37"/>
      <c r="E459" s="37"/>
      <c r="F459" s="37"/>
      <c r="G459" s="37"/>
      <c r="H459" s="37"/>
      <c r="I459" s="37"/>
      <c r="J459" s="37"/>
      <c r="K459" s="37"/>
      <c r="L459" s="37"/>
      <c r="M459" s="37"/>
      <c r="N459" s="37"/>
      <c r="O459" s="37"/>
      <c r="P459" s="37"/>
      <c r="Q459" s="37"/>
      <c r="R459" s="37"/>
      <c r="S459" s="37"/>
      <c r="T459" s="37"/>
      <c r="U459" s="37"/>
      <c r="W459" s="10"/>
      <c r="X459" s="10"/>
    </row>
    <row r="460" ht="15.75" customHeight="1">
      <c r="A460" s="37"/>
      <c r="B460" s="37"/>
      <c r="C460" s="37"/>
      <c r="D460" s="37"/>
      <c r="E460" s="37"/>
      <c r="F460" s="37"/>
      <c r="G460" s="37"/>
      <c r="H460" s="37"/>
      <c r="I460" s="37"/>
      <c r="J460" s="37"/>
      <c r="K460" s="37"/>
      <c r="L460" s="37"/>
      <c r="M460" s="37"/>
      <c r="N460" s="37"/>
      <c r="O460" s="37"/>
      <c r="P460" s="37"/>
      <c r="Q460" s="37"/>
      <c r="R460" s="37"/>
      <c r="S460" s="37"/>
      <c r="T460" s="37"/>
      <c r="U460" s="37"/>
      <c r="W460" s="10"/>
      <c r="X460" s="10"/>
    </row>
    <row r="461" ht="15.75" customHeight="1">
      <c r="A461" s="37"/>
      <c r="B461" s="37"/>
      <c r="C461" s="37"/>
      <c r="D461" s="37"/>
      <c r="E461" s="37"/>
      <c r="F461" s="37"/>
      <c r="G461" s="37"/>
      <c r="H461" s="37"/>
      <c r="I461" s="37"/>
      <c r="J461" s="37"/>
      <c r="K461" s="37"/>
      <c r="L461" s="37"/>
      <c r="M461" s="37"/>
      <c r="N461" s="37"/>
      <c r="O461" s="37"/>
      <c r="P461" s="37"/>
      <c r="Q461" s="37"/>
      <c r="R461" s="37"/>
      <c r="S461" s="37"/>
      <c r="T461" s="37"/>
      <c r="U461" s="37"/>
      <c r="W461" s="10"/>
      <c r="X461" s="10"/>
    </row>
    <row r="462" ht="15.75" customHeight="1">
      <c r="A462" s="37"/>
      <c r="B462" s="37"/>
      <c r="C462" s="37"/>
      <c r="D462" s="37"/>
      <c r="E462" s="37"/>
      <c r="F462" s="37"/>
      <c r="G462" s="37"/>
      <c r="H462" s="37"/>
      <c r="I462" s="37"/>
      <c r="J462" s="37"/>
      <c r="K462" s="37"/>
      <c r="L462" s="37"/>
      <c r="M462" s="37"/>
      <c r="N462" s="37"/>
      <c r="O462" s="37"/>
      <c r="P462" s="37"/>
      <c r="Q462" s="37"/>
      <c r="R462" s="37"/>
      <c r="S462" s="37"/>
      <c r="T462" s="37"/>
      <c r="U462" s="37"/>
      <c r="W462" s="10"/>
      <c r="X462" s="10"/>
    </row>
    <row r="463" ht="15.75" customHeight="1">
      <c r="A463" s="37"/>
      <c r="B463" s="37"/>
      <c r="C463" s="37"/>
      <c r="D463" s="37"/>
      <c r="E463" s="37"/>
      <c r="F463" s="37"/>
      <c r="G463" s="37"/>
      <c r="H463" s="37"/>
      <c r="I463" s="37"/>
      <c r="J463" s="37"/>
      <c r="K463" s="37"/>
      <c r="L463" s="37"/>
      <c r="M463" s="37"/>
      <c r="N463" s="37"/>
      <c r="O463" s="37"/>
      <c r="P463" s="37"/>
      <c r="Q463" s="37"/>
      <c r="R463" s="37"/>
      <c r="S463" s="37"/>
      <c r="T463" s="37"/>
      <c r="U463" s="37"/>
      <c r="W463" s="10"/>
      <c r="X463" s="10"/>
    </row>
    <row r="464" ht="15.75" customHeight="1">
      <c r="A464" s="37"/>
      <c r="B464" s="37"/>
      <c r="C464" s="37"/>
      <c r="D464" s="37"/>
      <c r="E464" s="37"/>
      <c r="F464" s="37"/>
      <c r="G464" s="37"/>
      <c r="H464" s="37"/>
      <c r="I464" s="37"/>
      <c r="J464" s="37"/>
      <c r="K464" s="37"/>
      <c r="L464" s="37"/>
      <c r="M464" s="37"/>
      <c r="N464" s="37"/>
      <c r="O464" s="37"/>
      <c r="P464" s="37"/>
      <c r="Q464" s="37"/>
      <c r="R464" s="37"/>
      <c r="S464" s="37"/>
      <c r="T464" s="37"/>
      <c r="U464" s="37"/>
      <c r="W464" s="10"/>
      <c r="X464" s="10"/>
    </row>
    <row r="465" ht="15.75" customHeight="1">
      <c r="A465" s="37"/>
      <c r="B465" s="37"/>
      <c r="C465" s="37"/>
      <c r="D465" s="37"/>
      <c r="E465" s="37"/>
      <c r="F465" s="37"/>
      <c r="G465" s="37"/>
      <c r="H465" s="37"/>
      <c r="I465" s="37"/>
      <c r="J465" s="37"/>
      <c r="K465" s="37"/>
      <c r="L465" s="37"/>
      <c r="M465" s="37"/>
      <c r="N465" s="37"/>
      <c r="O465" s="37"/>
      <c r="P465" s="37"/>
      <c r="Q465" s="37"/>
      <c r="R465" s="37"/>
      <c r="S465" s="37"/>
      <c r="T465" s="37"/>
      <c r="U465" s="37"/>
      <c r="W465" s="10"/>
      <c r="X465" s="10"/>
    </row>
    <row r="466" ht="15.75" customHeight="1">
      <c r="A466" s="37"/>
      <c r="B466" s="37"/>
      <c r="C466" s="37"/>
      <c r="D466" s="37"/>
      <c r="E466" s="37"/>
      <c r="F466" s="37"/>
      <c r="G466" s="37"/>
      <c r="H466" s="37"/>
      <c r="I466" s="37"/>
      <c r="J466" s="37"/>
      <c r="K466" s="37"/>
      <c r="L466" s="37"/>
      <c r="M466" s="37"/>
      <c r="N466" s="37"/>
      <c r="O466" s="37"/>
      <c r="P466" s="37"/>
      <c r="Q466" s="37"/>
      <c r="R466" s="37"/>
      <c r="S466" s="37"/>
      <c r="T466" s="37"/>
      <c r="U466" s="37"/>
      <c r="W466" s="10"/>
      <c r="X466" s="10"/>
    </row>
    <row r="467" ht="15.75" customHeight="1">
      <c r="A467" s="37"/>
      <c r="B467" s="37"/>
      <c r="C467" s="37"/>
      <c r="D467" s="37"/>
      <c r="E467" s="37"/>
      <c r="F467" s="37"/>
      <c r="G467" s="37"/>
      <c r="H467" s="37"/>
      <c r="I467" s="37"/>
      <c r="J467" s="37"/>
      <c r="K467" s="37"/>
      <c r="L467" s="37"/>
      <c r="M467" s="37"/>
      <c r="N467" s="37"/>
      <c r="O467" s="37"/>
      <c r="P467" s="37"/>
      <c r="Q467" s="37"/>
      <c r="R467" s="37"/>
      <c r="S467" s="37"/>
      <c r="T467" s="37"/>
      <c r="U467" s="37"/>
      <c r="W467" s="10"/>
      <c r="X467" s="10"/>
    </row>
    <row r="468" ht="15.75" customHeight="1">
      <c r="A468" s="37"/>
      <c r="B468" s="37"/>
      <c r="C468" s="37"/>
      <c r="D468" s="37"/>
      <c r="E468" s="37"/>
      <c r="F468" s="37"/>
      <c r="G468" s="37"/>
      <c r="H468" s="37"/>
      <c r="I468" s="37"/>
      <c r="J468" s="37"/>
      <c r="K468" s="37"/>
      <c r="L468" s="37"/>
      <c r="M468" s="37"/>
      <c r="N468" s="37"/>
      <c r="O468" s="37"/>
      <c r="P468" s="37"/>
      <c r="Q468" s="37"/>
      <c r="R468" s="37"/>
      <c r="S468" s="37"/>
      <c r="T468" s="37"/>
      <c r="U468" s="37"/>
      <c r="W468" s="10"/>
      <c r="X468" s="10"/>
    </row>
    <row r="469" ht="15.75" customHeight="1">
      <c r="A469" s="37"/>
      <c r="B469" s="37"/>
      <c r="C469" s="37"/>
      <c r="D469" s="37"/>
      <c r="E469" s="37"/>
      <c r="F469" s="37"/>
      <c r="G469" s="37"/>
      <c r="H469" s="37"/>
      <c r="I469" s="37"/>
      <c r="J469" s="37"/>
      <c r="K469" s="37"/>
      <c r="L469" s="37"/>
      <c r="M469" s="37"/>
      <c r="N469" s="37"/>
      <c r="O469" s="37"/>
      <c r="P469" s="37"/>
      <c r="Q469" s="37"/>
      <c r="R469" s="37"/>
      <c r="S469" s="37"/>
      <c r="T469" s="37"/>
      <c r="U469" s="37"/>
      <c r="W469" s="10"/>
      <c r="X469" s="10"/>
    </row>
    <row r="470" ht="15.75" customHeight="1">
      <c r="A470" s="37"/>
      <c r="B470" s="37"/>
      <c r="C470" s="37"/>
      <c r="D470" s="37"/>
      <c r="E470" s="37"/>
      <c r="F470" s="37"/>
      <c r="G470" s="37"/>
      <c r="H470" s="37"/>
      <c r="I470" s="37"/>
      <c r="J470" s="37"/>
      <c r="K470" s="37"/>
      <c r="L470" s="37"/>
      <c r="M470" s="37"/>
      <c r="N470" s="37"/>
      <c r="O470" s="37"/>
      <c r="P470" s="37"/>
      <c r="Q470" s="37"/>
      <c r="R470" s="37"/>
      <c r="S470" s="37"/>
      <c r="T470" s="37"/>
      <c r="U470" s="37"/>
      <c r="W470" s="10"/>
      <c r="X470" s="10"/>
    </row>
    <row r="471" ht="15.75" customHeight="1">
      <c r="A471" s="37"/>
      <c r="B471" s="37"/>
      <c r="C471" s="37"/>
      <c r="D471" s="37"/>
      <c r="E471" s="37"/>
      <c r="F471" s="37"/>
      <c r="G471" s="37"/>
      <c r="H471" s="37"/>
      <c r="I471" s="37"/>
      <c r="J471" s="37"/>
      <c r="K471" s="37"/>
      <c r="L471" s="37"/>
      <c r="M471" s="37"/>
      <c r="N471" s="37"/>
      <c r="O471" s="37"/>
      <c r="P471" s="37"/>
      <c r="Q471" s="37"/>
      <c r="R471" s="37"/>
      <c r="S471" s="37"/>
      <c r="T471" s="37"/>
      <c r="U471" s="37"/>
      <c r="W471" s="10"/>
      <c r="X471" s="10"/>
    </row>
    <row r="472" ht="15.75" customHeight="1">
      <c r="A472" s="37"/>
      <c r="B472" s="37"/>
      <c r="C472" s="37"/>
      <c r="D472" s="37"/>
      <c r="E472" s="37"/>
      <c r="F472" s="37"/>
      <c r="G472" s="37"/>
      <c r="H472" s="37"/>
      <c r="I472" s="37"/>
      <c r="J472" s="37"/>
      <c r="K472" s="37"/>
      <c r="L472" s="37"/>
      <c r="M472" s="37"/>
      <c r="N472" s="37"/>
      <c r="O472" s="37"/>
      <c r="P472" s="37"/>
      <c r="Q472" s="37"/>
      <c r="R472" s="37"/>
      <c r="S472" s="37"/>
      <c r="T472" s="37"/>
      <c r="U472" s="37"/>
      <c r="W472" s="10"/>
      <c r="X472" s="10"/>
    </row>
    <row r="473" ht="15.75" customHeight="1">
      <c r="A473" s="37"/>
      <c r="B473" s="37"/>
      <c r="K473" s="37"/>
      <c r="L473" s="37"/>
      <c r="M473" s="37"/>
      <c r="N473" s="37"/>
      <c r="O473" s="37"/>
      <c r="P473" s="37"/>
      <c r="Q473" s="37"/>
      <c r="R473" s="37"/>
      <c r="S473" s="37"/>
      <c r="T473" s="37"/>
      <c r="U473" s="37"/>
      <c r="W473" s="10"/>
      <c r="X473" s="10"/>
    </row>
    <row r="474" ht="15.75" customHeight="1">
      <c r="A474" s="37"/>
      <c r="B474" s="37"/>
      <c r="K474" s="37"/>
      <c r="L474" s="37"/>
      <c r="M474" s="37"/>
      <c r="N474" s="37"/>
      <c r="O474" s="37"/>
      <c r="P474" s="37"/>
      <c r="Q474" s="37"/>
      <c r="R474" s="37"/>
      <c r="S474" s="37"/>
      <c r="T474" s="37"/>
      <c r="U474" s="37"/>
      <c r="W474" s="10"/>
      <c r="X474" s="10"/>
    </row>
    <row r="475" ht="15.75" customHeight="1">
      <c r="A475" s="37"/>
      <c r="B475" s="37"/>
      <c r="K475" s="37"/>
      <c r="L475" s="37"/>
      <c r="M475" s="37"/>
      <c r="N475" s="37"/>
      <c r="O475" s="37"/>
      <c r="P475" s="37"/>
      <c r="Q475" s="37"/>
      <c r="R475" s="37"/>
      <c r="S475" s="37"/>
      <c r="T475" s="37"/>
      <c r="U475" s="37"/>
      <c r="W475" s="10"/>
      <c r="X475" s="10"/>
    </row>
    <row r="476" ht="15.75" customHeight="1">
      <c r="A476" s="37"/>
      <c r="B476" s="37"/>
      <c r="K476" s="37"/>
      <c r="L476" s="37"/>
      <c r="M476" s="37"/>
      <c r="N476" s="37"/>
      <c r="O476" s="37"/>
      <c r="P476" s="37"/>
      <c r="Q476" s="37"/>
      <c r="R476" s="37"/>
      <c r="S476" s="37"/>
      <c r="T476" s="37"/>
      <c r="U476" s="37"/>
      <c r="W476" s="10"/>
      <c r="X476" s="10"/>
    </row>
    <row r="477" ht="15.75" customHeight="1">
      <c r="A477" s="37"/>
      <c r="B477" s="37"/>
      <c r="K477" s="37"/>
      <c r="L477" s="37"/>
      <c r="M477" s="37"/>
      <c r="N477" s="37"/>
      <c r="O477" s="37"/>
      <c r="P477" s="37"/>
      <c r="Q477" s="37"/>
      <c r="R477" s="37"/>
      <c r="S477" s="37"/>
      <c r="T477" s="37"/>
      <c r="U477" s="37"/>
      <c r="W477" s="10"/>
      <c r="X477" s="10"/>
    </row>
    <row r="478" ht="15.75" customHeight="1">
      <c r="A478" s="37"/>
      <c r="B478" s="37"/>
      <c r="K478" s="37"/>
      <c r="L478" s="37"/>
      <c r="M478" s="37"/>
      <c r="N478" s="37"/>
      <c r="O478" s="37"/>
      <c r="P478" s="37"/>
      <c r="Q478" s="37"/>
      <c r="R478" s="37"/>
      <c r="S478" s="37"/>
      <c r="T478" s="37"/>
      <c r="U478" s="37"/>
      <c r="W478" s="10"/>
      <c r="X478" s="10"/>
    </row>
    <row r="479" ht="15.75" customHeight="1">
      <c r="A479" s="37"/>
      <c r="B479" s="37"/>
      <c r="K479" s="37"/>
      <c r="L479" s="37"/>
      <c r="M479" s="37"/>
      <c r="N479" s="37"/>
      <c r="O479" s="37"/>
      <c r="P479" s="37"/>
      <c r="Q479" s="37"/>
      <c r="R479" s="37"/>
      <c r="S479" s="37"/>
      <c r="T479" s="37"/>
      <c r="U479" s="37"/>
      <c r="W479" s="10"/>
      <c r="X479" s="10"/>
    </row>
    <row r="480" ht="15.75" customHeight="1">
      <c r="A480" s="37"/>
      <c r="B480" s="37"/>
      <c r="K480" s="37"/>
      <c r="L480" s="37"/>
      <c r="M480" s="37"/>
      <c r="N480" s="37"/>
      <c r="O480" s="37"/>
      <c r="P480" s="37"/>
      <c r="Q480" s="37"/>
      <c r="R480" s="37"/>
      <c r="S480" s="37"/>
      <c r="T480" s="37"/>
      <c r="U480" s="37"/>
      <c r="W480" s="10"/>
      <c r="X480" s="10"/>
    </row>
    <row r="481" ht="15.75" customHeight="1">
      <c r="A481" s="37"/>
      <c r="B481" s="37"/>
      <c r="K481" s="37"/>
      <c r="L481" s="37"/>
      <c r="M481" s="37"/>
      <c r="N481" s="37"/>
      <c r="O481" s="37"/>
      <c r="P481" s="37"/>
      <c r="Q481" s="37"/>
      <c r="R481" s="37"/>
      <c r="S481" s="37"/>
      <c r="T481" s="37"/>
      <c r="U481" s="37"/>
      <c r="W481" s="10"/>
      <c r="X481" s="10"/>
    </row>
    <row r="482" ht="15.75" customHeight="1">
      <c r="A482" s="37"/>
      <c r="B482" s="37"/>
      <c r="K482" s="37"/>
      <c r="L482" s="37"/>
      <c r="M482" s="37"/>
      <c r="N482" s="37"/>
      <c r="O482" s="37"/>
      <c r="P482" s="37"/>
      <c r="Q482" s="37"/>
      <c r="R482" s="37"/>
      <c r="S482" s="37"/>
      <c r="T482" s="37"/>
      <c r="U482" s="37"/>
      <c r="W482" s="10"/>
      <c r="X482" s="10"/>
    </row>
    <row r="483" ht="15.75" customHeight="1">
      <c r="A483" s="37"/>
      <c r="B483" s="37"/>
      <c r="K483" s="37"/>
      <c r="L483" s="37"/>
      <c r="M483" s="37"/>
      <c r="N483" s="37"/>
      <c r="O483" s="37"/>
      <c r="P483" s="37"/>
      <c r="Q483" s="37"/>
      <c r="R483" s="37"/>
      <c r="S483" s="37"/>
      <c r="T483" s="37"/>
      <c r="U483" s="37"/>
      <c r="W483" s="10"/>
      <c r="X483" s="10"/>
    </row>
    <row r="484" ht="15.75" customHeight="1">
      <c r="A484" s="37"/>
      <c r="B484" s="37"/>
      <c r="K484" s="37"/>
      <c r="L484" s="37"/>
      <c r="M484" s="37"/>
      <c r="N484" s="37"/>
      <c r="O484" s="37"/>
      <c r="P484" s="37"/>
      <c r="Q484" s="37"/>
      <c r="R484" s="37"/>
      <c r="S484" s="37"/>
      <c r="T484" s="37"/>
      <c r="U484" s="37"/>
      <c r="W484" s="10"/>
      <c r="X484" s="10"/>
    </row>
    <row r="485" ht="15.75" customHeight="1">
      <c r="A485" s="37"/>
      <c r="B485" s="37"/>
      <c r="K485" s="37"/>
      <c r="L485" s="37"/>
      <c r="M485" s="37"/>
      <c r="N485" s="37"/>
      <c r="O485" s="37"/>
      <c r="P485" s="37"/>
      <c r="Q485" s="37"/>
      <c r="R485" s="37"/>
      <c r="S485" s="37"/>
      <c r="T485" s="37"/>
      <c r="U485" s="37"/>
      <c r="W485" s="10"/>
      <c r="X485" s="10"/>
    </row>
    <row r="486" ht="15.75" customHeight="1">
      <c r="A486" s="37"/>
      <c r="B486" s="37"/>
      <c r="K486" s="37"/>
      <c r="L486" s="37"/>
      <c r="M486" s="37"/>
      <c r="N486" s="37"/>
      <c r="O486" s="37"/>
      <c r="P486" s="37"/>
      <c r="Q486" s="37"/>
      <c r="R486" s="37"/>
      <c r="S486" s="37"/>
      <c r="T486" s="37"/>
      <c r="U486" s="37"/>
      <c r="W486" s="10"/>
      <c r="X486" s="10"/>
    </row>
    <row r="487" ht="15.75" customHeight="1">
      <c r="A487" s="37"/>
      <c r="B487" s="37"/>
      <c r="K487" s="37"/>
      <c r="L487" s="37"/>
      <c r="M487" s="37"/>
      <c r="N487" s="37"/>
      <c r="O487" s="37"/>
      <c r="P487" s="37"/>
      <c r="Q487" s="37"/>
      <c r="R487" s="37"/>
      <c r="S487" s="37"/>
      <c r="T487" s="37"/>
      <c r="U487" s="37"/>
      <c r="W487" s="10"/>
      <c r="X487" s="10"/>
    </row>
    <row r="488" ht="15.75" customHeight="1">
      <c r="A488" s="37"/>
      <c r="B488" s="37"/>
      <c r="K488" s="37"/>
      <c r="L488" s="37"/>
      <c r="M488" s="37"/>
      <c r="N488" s="37"/>
      <c r="O488" s="37"/>
      <c r="P488" s="37"/>
      <c r="Q488" s="37"/>
      <c r="R488" s="37"/>
      <c r="S488" s="37"/>
      <c r="T488" s="37"/>
      <c r="U488" s="37"/>
      <c r="W488" s="10"/>
      <c r="X488" s="10"/>
    </row>
    <row r="489" ht="15.75" customHeight="1">
      <c r="A489" s="37"/>
      <c r="B489" s="37"/>
      <c r="K489" s="37"/>
      <c r="L489" s="37"/>
      <c r="M489" s="37"/>
      <c r="N489" s="37"/>
      <c r="O489" s="37"/>
      <c r="P489" s="37"/>
      <c r="Q489" s="37"/>
      <c r="R489" s="37"/>
      <c r="S489" s="37"/>
      <c r="T489" s="37"/>
      <c r="U489" s="37"/>
      <c r="W489" s="10"/>
      <c r="X489" s="10"/>
    </row>
    <row r="490" ht="15.75" customHeight="1">
      <c r="A490" s="37"/>
      <c r="B490" s="37"/>
      <c r="K490" s="37"/>
      <c r="L490" s="37"/>
      <c r="M490" s="37"/>
      <c r="N490" s="37"/>
      <c r="O490" s="37"/>
      <c r="P490" s="37"/>
      <c r="Q490" s="37"/>
      <c r="R490" s="37"/>
      <c r="S490" s="37"/>
      <c r="T490" s="37"/>
      <c r="U490" s="37"/>
      <c r="W490" s="10"/>
      <c r="X490" s="10"/>
    </row>
    <row r="491" ht="15.75" customHeight="1">
      <c r="A491" s="37"/>
      <c r="B491" s="37"/>
      <c r="K491" s="37"/>
      <c r="L491" s="37"/>
      <c r="M491" s="37"/>
      <c r="N491" s="37"/>
      <c r="O491" s="37"/>
      <c r="P491" s="37"/>
      <c r="Q491" s="37"/>
      <c r="R491" s="37"/>
      <c r="S491" s="37"/>
      <c r="T491" s="37"/>
      <c r="U491" s="37"/>
      <c r="W491" s="10"/>
      <c r="X491" s="10"/>
    </row>
    <row r="492" ht="15.75" customHeight="1">
      <c r="A492" s="37"/>
      <c r="B492" s="37"/>
      <c r="K492" s="37"/>
      <c r="L492" s="37"/>
      <c r="M492" s="37"/>
      <c r="N492" s="37"/>
      <c r="O492" s="37"/>
      <c r="P492" s="37"/>
      <c r="Q492" s="37"/>
      <c r="R492" s="37"/>
      <c r="S492" s="37"/>
      <c r="T492" s="37"/>
      <c r="U492" s="37"/>
      <c r="W492" s="10"/>
      <c r="X492" s="10"/>
    </row>
    <row r="493" ht="15.75" customHeight="1">
      <c r="A493" s="37"/>
      <c r="B493" s="37"/>
      <c r="K493" s="37"/>
      <c r="L493" s="37"/>
      <c r="M493" s="37"/>
      <c r="N493" s="37"/>
      <c r="O493" s="37"/>
      <c r="P493" s="37"/>
      <c r="Q493" s="37"/>
      <c r="R493" s="37"/>
      <c r="S493" s="37"/>
      <c r="T493" s="37"/>
      <c r="U493" s="37"/>
      <c r="W493" s="10"/>
      <c r="X493" s="10"/>
    </row>
    <row r="494" ht="15.75" customHeight="1">
      <c r="A494" s="37"/>
      <c r="B494" s="37"/>
      <c r="K494" s="37"/>
      <c r="L494" s="37"/>
      <c r="M494" s="37"/>
      <c r="N494" s="37"/>
      <c r="O494" s="37"/>
      <c r="P494" s="37"/>
      <c r="Q494" s="37"/>
      <c r="R494" s="37"/>
      <c r="S494" s="37"/>
      <c r="T494" s="37"/>
      <c r="U494" s="37"/>
      <c r="W494" s="10"/>
      <c r="X494" s="10"/>
    </row>
    <row r="495" ht="15.75" customHeight="1">
      <c r="A495" s="37"/>
      <c r="B495" s="37"/>
      <c r="K495" s="37"/>
      <c r="L495" s="37"/>
      <c r="M495" s="37"/>
      <c r="N495" s="37"/>
      <c r="O495" s="37"/>
      <c r="P495" s="37"/>
      <c r="Q495" s="37"/>
      <c r="R495" s="37"/>
      <c r="S495" s="37"/>
      <c r="T495" s="37"/>
      <c r="U495" s="37"/>
      <c r="W495" s="10"/>
      <c r="X495" s="10"/>
    </row>
    <row r="496" ht="15.75" customHeight="1">
      <c r="A496" s="37"/>
      <c r="B496" s="37"/>
      <c r="K496" s="37"/>
      <c r="L496" s="37"/>
      <c r="M496" s="37"/>
      <c r="N496" s="37"/>
      <c r="O496" s="37"/>
      <c r="P496" s="37"/>
      <c r="Q496" s="37"/>
      <c r="R496" s="37"/>
      <c r="S496" s="37"/>
      <c r="T496" s="37"/>
      <c r="U496" s="37"/>
      <c r="W496" s="10"/>
      <c r="X496" s="10"/>
    </row>
    <row r="497" ht="15.75" customHeight="1">
      <c r="A497" s="37"/>
      <c r="B497" s="37"/>
      <c r="K497" s="37"/>
      <c r="L497" s="37"/>
      <c r="M497" s="37"/>
      <c r="N497" s="37"/>
      <c r="O497" s="37"/>
      <c r="P497" s="37"/>
      <c r="Q497" s="37"/>
      <c r="R497" s="37"/>
      <c r="S497" s="37"/>
      <c r="T497" s="37"/>
      <c r="U497" s="37"/>
      <c r="W497" s="10"/>
      <c r="X497" s="10"/>
    </row>
    <row r="498" ht="15.75" customHeight="1">
      <c r="A498" s="37"/>
      <c r="B498" s="37"/>
      <c r="K498" s="37"/>
      <c r="L498" s="37"/>
      <c r="M498" s="37"/>
      <c r="N498" s="37"/>
      <c r="O498" s="37"/>
      <c r="P498" s="37"/>
      <c r="Q498" s="37"/>
      <c r="R498" s="37"/>
      <c r="S498" s="37"/>
      <c r="T498" s="37"/>
      <c r="U498" s="37"/>
      <c r="W498" s="10"/>
      <c r="X498" s="10"/>
    </row>
    <row r="499" ht="15.75" customHeight="1">
      <c r="A499" s="37"/>
      <c r="B499" s="37"/>
      <c r="K499" s="37"/>
      <c r="L499" s="37"/>
      <c r="M499" s="37"/>
      <c r="N499" s="37"/>
      <c r="O499" s="37"/>
      <c r="P499" s="37"/>
      <c r="Q499" s="37"/>
      <c r="R499" s="37"/>
      <c r="S499" s="37"/>
      <c r="T499" s="37"/>
      <c r="U499" s="37"/>
      <c r="W499" s="10"/>
      <c r="X499" s="10"/>
    </row>
    <row r="500" ht="15.75" customHeight="1">
      <c r="A500" s="37"/>
      <c r="B500" s="37"/>
      <c r="K500" s="37"/>
      <c r="L500" s="37"/>
      <c r="M500" s="37"/>
      <c r="N500" s="37"/>
      <c r="O500" s="37"/>
      <c r="P500" s="37"/>
      <c r="Q500" s="37"/>
      <c r="R500" s="37"/>
      <c r="S500" s="37"/>
      <c r="T500" s="37"/>
      <c r="U500" s="37"/>
      <c r="W500" s="10"/>
      <c r="X500" s="10"/>
    </row>
    <row r="501" ht="15.75" customHeight="1">
      <c r="L501" s="37"/>
      <c r="M501" s="37"/>
      <c r="N501" s="37"/>
      <c r="O501" s="37"/>
      <c r="P501" s="37"/>
      <c r="Q501" s="37"/>
      <c r="R501" s="37"/>
      <c r="S501" s="37"/>
      <c r="T501" s="37"/>
      <c r="U501" s="37"/>
      <c r="W501" s="10"/>
      <c r="X501" s="10"/>
    </row>
    <row r="502" ht="15.75" customHeight="1">
      <c r="L502" s="37"/>
      <c r="M502" s="37"/>
      <c r="N502" s="37"/>
      <c r="O502" s="37"/>
      <c r="P502" s="37"/>
      <c r="Q502" s="37"/>
      <c r="R502" s="37"/>
      <c r="S502" s="37"/>
      <c r="T502" s="37"/>
      <c r="U502" s="37"/>
      <c r="W502" s="10"/>
      <c r="X502" s="10"/>
    </row>
    <row r="503" ht="15.75" customHeight="1">
      <c r="L503" s="37"/>
      <c r="M503" s="37"/>
      <c r="N503" s="37"/>
      <c r="O503" s="37"/>
      <c r="P503" s="37"/>
      <c r="Q503" s="37"/>
      <c r="R503" s="37"/>
      <c r="S503" s="37"/>
      <c r="T503" s="37"/>
      <c r="U503" s="37"/>
      <c r="W503" s="10"/>
      <c r="X503" s="10"/>
    </row>
    <row r="504" ht="15.75" customHeight="1">
      <c r="L504" s="37"/>
      <c r="M504" s="37"/>
      <c r="N504" s="37"/>
      <c r="O504" s="37"/>
      <c r="P504" s="37"/>
      <c r="Q504" s="37"/>
      <c r="R504" s="37"/>
      <c r="S504" s="37"/>
      <c r="T504" s="37"/>
      <c r="U504" s="37"/>
      <c r="W504" s="10"/>
      <c r="X504" s="10"/>
    </row>
    <row r="505" ht="15.75" customHeight="1">
      <c r="L505" s="37"/>
      <c r="M505" s="37"/>
      <c r="N505" s="37"/>
      <c r="O505" s="37"/>
      <c r="P505" s="37"/>
      <c r="Q505" s="37"/>
      <c r="R505" s="37"/>
      <c r="S505" s="37"/>
      <c r="T505" s="37"/>
      <c r="U505" s="37"/>
      <c r="W505" s="10"/>
      <c r="X505" s="10"/>
    </row>
    <row r="506" ht="15.75" customHeight="1">
      <c r="L506" s="37"/>
      <c r="U506" s="37"/>
      <c r="W506" s="10"/>
      <c r="X506" s="10"/>
    </row>
    <row r="507" ht="15.75" customHeight="1">
      <c r="W507" s="10"/>
      <c r="X507" s="10"/>
    </row>
    <row r="508" ht="15.75" customHeight="1">
      <c r="W508" s="10"/>
      <c r="X508" s="10"/>
    </row>
    <row r="509" ht="15.75" customHeight="1">
      <c r="W509" s="10"/>
      <c r="X509" s="10"/>
    </row>
    <row r="510" ht="15.75" customHeight="1">
      <c r="W510" s="10"/>
      <c r="X510" s="10"/>
    </row>
    <row r="511" ht="15.75" customHeight="1">
      <c r="W511" s="10"/>
      <c r="X511" s="10"/>
    </row>
    <row r="512" ht="15.75" customHeight="1">
      <c r="W512" s="10"/>
      <c r="X512" s="10"/>
    </row>
    <row r="513" ht="15.75" customHeight="1">
      <c r="W513" s="10"/>
      <c r="X513" s="10"/>
    </row>
    <row r="514" ht="15.75" customHeight="1">
      <c r="W514" s="10"/>
      <c r="X514" s="10"/>
    </row>
    <row r="515" ht="15.75" customHeight="1">
      <c r="W515" s="10"/>
      <c r="X515" s="10"/>
    </row>
    <row r="516" ht="15.75" customHeight="1">
      <c r="W516" s="10"/>
      <c r="X516" s="10"/>
    </row>
    <row r="517" ht="15.75" customHeight="1">
      <c r="W517" s="10"/>
      <c r="X517" s="10"/>
    </row>
    <row r="518" ht="15.75" customHeight="1">
      <c r="W518" s="10"/>
      <c r="X518" s="10"/>
    </row>
    <row r="519" ht="15.75" customHeight="1">
      <c r="W519" s="10"/>
      <c r="X519" s="10"/>
    </row>
    <row r="520" ht="15.75" customHeight="1">
      <c r="W520" s="10"/>
      <c r="X520" s="10"/>
    </row>
    <row r="521" ht="15.75" customHeight="1">
      <c r="W521" s="10"/>
      <c r="X521" s="10"/>
    </row>
    <row r="522" ht="15.75" customHeight="1">
      <c r="W522" s="10"/>
      <c r="X522" s="10"/>
    </row>
    <row r="523" ht="15.75" customHeight="1">
      <c r="W523" s="10"/>
      <c r="X523" s="10"/>
    </row>
    <row r="524" ht="15.75" customHeight="1">
      <c r="W524" s="10"/>
      <c r="X524" s="10"/>
    </row>
    <row r="525" ht="15.75" customHeight="1">
      <c r="W525" s="10"/>
      <c r="X525" s="10"/>
    </row>
    <row r="526" ht="15.75" customHeight="1">
      <c r="W526" s="10"/>
      <c r="X526" s="10"/>
    </row>
    <row r="527" ht="15.75" customHeight="1">
      <c r="W527" s="10"/>
      <c r="X527" s="10"/>
    </row>
    <row r="528" ht="15.75" customHeight="1">
      <c r="W528" s="10"/>
      <c r="X528" s="10"/>
    </row>
    <row r="529" ht="15.75" customHeight="1">
      <c r="W529" s="10"/>
      <c r="X529" s="10"/>
    </row>
    <row r="530" ht="15.75" customHeight="1">
      <c r="W530" s="10"/>
      <c r="X530" s="10"/>
    </row>
    <row r="531" ht="15.75" customHeight="1">
      <c r="W531" s="10"/>
      <c r="X531" s="10"/>
    </row>
    <row r="532" ht="15.75" customHeight="1">
      <c r="W532" s="10"/>
      <c r="X532" s="10"/>
    </row>
    <row r="533" ht="15.75" customHeight="1">
      <c r="W533" s="10"/>
      <c r="X533" s="10"/>
    </row>
    <row r="534" ht="15.75" customHeight="1">
      <c r="W534" s="10"/>
      <c r="X534" s="10"/>
    </row>
    <row r="535" ht="15.75" customHeight="1">
      <c r="W535" s="10"/>
      <c r="X535" s="10"/>
    </row>
    <row r="536" ht="15.75" customHeight="1">
      <c r="W536" s="10"/>
      <c r="X536" s="10"/>
    </row>
    <row r="537" ht="15.75" customHeight="1">
      <c r="W537" s="10"/>
      <c r="X537" s="10"/>
    </row>
    <row r="538" ht="15.75" customHeight="1">
      <c r="W538" s="10"/>
      <c r="X538" s="10"/>
    </row>
    <row r="539" ht="15.75" customHeight="1">
      <c r="W539" s="10"/>
      <c r="X539" s="10"/>
    </row>
    <row r="540" ht="15.75" customHeight="1">
      <c r="W540" s="10"/>
      <c r="X540" s="10"/>
    </row>
    <row r="541" ht="15.75" customHeight="1">
      <c r="W541" s="10"/>
      <c r="X541" s="10"/>
    </row>
    <row r="542" ht="15.75" customHeight="1">
      <c r="W542" s="10"/>
      <c r="X542" s="10"/>
    </row>
    <row r="543" ht="15.75" customHeight="1">
      <c r="W543" s="10"/>
      <c r="X543" s="10"/>
    </row>
    <row r="544" ht="15.75" customHeight="1">
      <c r="W544" s="10"/>
      <c r="X544" s="10"/>
    </row>
    <row r="545" ht="15.75" customHeight="1">
      <c r="W545" s="10"/>
      <c r="X545" s="10"/>
    </row>
    <row r="546" ht="15.75" customHeight="1">
      <c r="W546" s="10"/>
      <c r="X546" s="10"/>
    </row>
    <row r="547" ht="15.75" customHeight="1">
      <c r="W547" s="10"/>
      <c r="X547" s="10"/>
    </row>
    <row r="548" ht="15.75" customHeight="1">
      <c r="W548" s="10"/>
      <c r="X548" s="10"/>
    </row>
    <row r="549" ht="15.75" customHeight="1">
      <c r="W549" s="10"/>
      <c r="X549" s="10"/>
    </row>
    <row r="550" ht="15.75" customHeight="1">
      <c r="W550" s="10"/>
      <c r="X550" s="10"/>
    </row>
    <row r="551" ht="15.75" customHeight="1">
      <c r="W551" s="10"/>
      <c r="X551" s="10"/>
    </row>
    <row r="552" ht="15.75" customHeight="1">
      <c r="W552" s="10"/>
      <c r="X552" s="10"/>
    </row>
    <row r="553" ht="15.75" customHeight="1">
      <c r="W553" s="10"/>
      <c r="X553" s="10"/>
    </row>
    <row r="554" ht="15.75" customHeight="1">
      <c r="W554" s="10"/>
      <c r="X554" s="10"/>
    </row>
    <row r="555" ht="15.75" customHeight="1">
      <c r="W555" s="10"/>
      <c r="X555" s="10"/>
    </row>
    <row r="556" ht="15.75" customHeight="1">
      <c r="W556" s="10"/>
      <c r="X556" s="10"/>
    </row>
    <row r="557" ht="15.75" customHeight="1">
      <c r="W557" s="10"/>
      <c r="X557" s="10"/>
    </row>
    <row r="558" ht="15.75" customHeight="1">
      <c r="W558" s="10"/>
      <c r="X558" s="10"/>
    </row>
    <row r="559" ht="15.75" customHeight="1">
      <c r="W559" s="10"/>
      <c r="X559" s="10"/>
    </row>
    <row r="560" ht="15.75" customHeight="1">
      <c r="W560" s="10"/>
      <c r="X560" s="10"/>
    </row>
    <row r="561" ht="15.75" customHeight="1">
      <c r="W561" s="10"/>
      <c r="X561" s="10"/>
    </row>
    <row r="562" ht="15.75" customHeight="1">
      <c r="W562" s="10"/>
      <c r="X562" s="10"/>
    </row>
    <row r="563" ht="15.75" customHeight="1">
      <c r="W563" s="10"/>
      <c r="X563" s="10"/>
    </row>
    <row r="564" ht="15.75" customHeight="1">
      <c r="W564" s="10"/>
      <c r="X564" s="10"/>
    </row>
    <row r="565" ht="15.75" customHeight="1">
      <c r="W565" s="10"/>
      <c r="X565" s="10"/>
    </row>
    <row r="566" ht="15.75" customHeight="1">
      <c r="W566" s="10"/>
      <c r="X566" s="10"/>
    </row>
    <row r="567" ht="15.75" customHeight="1">
      <c r="W567" s="10"/>
      <c r="X567" s="10"/>
    </row>
    <row r="568" ht="15.75" customHeight="1">
      <c r="W568" s="10"/>
      <c r="X568" s="10"/>
    </row>
    <row r="569" ht="15.75" customHeight="1">
      <c r="W569" s="10"/>
      <c r="X569" s="10"/>
    </row>
    <row r="570" ht="15.75" customHeight="1">
      <c r="W570" s="10"/>
      <c r="X570" s="10"/>
    </row>
    <row r="571" ht="15.75" customHeight="1">
      <c r="W571" s="10"/>
      <c r="X571" s="10"/>
    </row>
    <row r="572" ht="15.75" customHeight="1">
      <c r="W572" s="10"/>
      <c r="X572" s="10"/>
    </row>
    <row r="573" ht="15.75" customHeight="1">
      <c r="W573" s="10"/>
      <c r="X573" s="10"/>
    </row>
    <row r="574" ht="15.75" customHeight="1">
      <c r="W574" s="10"/>
      <c r="X574" s="10"/>
    </row>
    <row r="575" ht="15.75" customHeight="1">
      <c r="W575" s="10"/>
      <c r="X575" s="10"/>
    </row>
    <row r="576" ht="15.75" customHeight="1">
      <c r="W576" s="10"/>
      <c r="X576" s="10"/>
    </row>
    <row r="577" ht="15.75" customHeight="1">
      <c r="W577" s="10"/>
      <c r="X577" s="10"/>
    </row>
    <row r="578" ht="15.75" customHeight="1">
      <c r="W578" s="10"/>
      <c r="X578" s="10"/>
    </row>
    <row r="579" ht="15.75" customHeight="1">
      <c r="W579" s="10"/>
      <c r="X579" s="10"/>
    </row>
    <row r="580" ht="15.75" customHeight="1">
      <c r="W580" s="10"/>
      <c r="X580" s="10"/>
    </row>
    <row r="581" ht="15.75" customHeight="1">
      <c r="W581" s="10"/>
      <c r="X581" s="10"/>
    </row>
    <row r="582" ht="15.75" customHeight="1">
      <c r="W582" s="10"/>
      <c r="X582" s="10"/>
    </row>
    <row r="583" ht="15.75" customHeight="1">
      <c r="W583" s="10"/>
      <c r="X583" s="10"/>
    </row>
    <row r="584" ht="15.75" customHeight="1">
      <c r="W584" s="10"/>
      <c r="X584" s="10"/>
    </row>
    <row r="585" ht="15.75" customHeight="1">
      <c r="W585" s="10"/>
      <c r="X585" s="10"/>
    </row>
    <row r="586" ht="15.75" customHeight="1">
      <c r="W586" s="10"/>
      <c r="X586" s="10"/>
    </row>
    <row r="587" ht="15.75" customHeight="1">
      <c r="W587" s="10"/>
      <c r="X587" s="10"/>
    </row>
    <row r="588" ht="15.75" customHeight="1">
      <c r="W588" s="10"/>
      <c r="X588" s="10"/>
    </row>
    <row r="589" ht="15.75" customHeight="1">
      <c r="W589" s="10"/>
      <c r="X589" s="10"/>
    </row>
    <row r="590" ht="15.75" customHeight="1">
      <c r="W590" s="10"/>
      <c r="X590" s="10"/>
    </row>
    <row r="591" ht="15.75" customHeight="1">
      <c r="W591" s="10"/>
      <c r="X591" s="10"/>
    </row>
    <row r="592" ht="15.75" customHeight="1">
      <c r="W592" s="10"/>
      <c r="X592" s="10"/>
    </row>
    <row r="593" ht="15.75" customHeight="1">
      <c r="W593" s="10"/>
      <c r="X593" s="10"/>
    </row>
    <row r="594" ht="15.75" customHeight="1">
      <c r="W594" s="10"/>
      <c r="X594" s="10"/>
    </row>
    <row r="595" ht="15.75" customHeight="1">
      <c r="W595" s="10"/>
      <c r="X595" s="10"/>
    </row>
    <row r="596" ht="15.75" customHeight="1">
      <c r="W596" s="10"/>
      <c r="X596" s="10"/>
    </row>
    <row r="597" ht="15.75" customHeight="1">
      <c r="W597" s="10"/>
      <c r="X597" s="10"/>
    </row>
    <row r="598" ht="15.75" customHeight="1">
      <c r="W598" s="10"/>
      <c r="X598" s="10"/>
    </row>
    <row r="599" ht="15.75" customHeight="1">
      <c r="W599" s="10"/>
      <c r="X599" s="10"/>
    </row>
    <row r="600" ht="15.75" customHeight="1">
      <c r="W600" s="10"/>
      <c r="X600" s="10"/>
    </row>
    <row r="601" ht="15.75" customHeight="1">
      <c r="W601" s="10"/>
      <c r="X601" s="10"/>
    </row>
    <row r="602" ht="15.75" customHeight="1">
      <c r="W602" s="10"/>
      <c r="X602" s="10"/>
    </row>
    <row r="603" ht="15.75" customHeight="1">
      <c r="W603" s="10"/>
      <c r="X603" s="10"/>
    </row>
    <row r="604" ht="15.75" customHeight="1">
      <c r="W604" s="10"/>
      <c r="X604" s="10"/>
    </row>
    <row r="605" ht="15.75" customHeight="1">
      <c r="W605" s="10"/>
      <c r="X605" s="10"/>
    </row>
    <row r="606" ht="15.75" customHeight="1">
      <c r="W606" s="10"/>
      <c r="X606" s="10"/>
    </row>
    <row r="607" ht="15.75" customHeight="1">
      <c r="W607" s="10"/>
      <c r="X607" s="10"/>
    </row>
    <row r="608" ht="15.75" customHeight="1">
      <c r="W608" s="10"/>
      <c r="X608" s="10"/>
    </row>
    <row r="609" ht="15.75" customHeight="1">
      <c r="W609" s="10"/>
      <c r="X609" s="10"/>
    </row>
    <row r="610" ht="15.75" customHeight="1">
      <c r="W610" s="10"/>
      <c r="X610" s="10"/>
    </row>
    <row r="611" ht="15.75" customHeight="1">
      <c r="W611" s="10"/>
      <c r="X611" s="10"/>
    </row>
    <row r="612" ht="15.75" customHeight="1">
      <c r="W612" s="10"/>
      <c r="X612" s="10"/>
    </row>
    <row r="613" ht="15.75" customHeight="1">
      <c r="W613" s="10"/>
      <c r="X613" s="10"/>
    </row>
    <row r="614" ht="15.75" customHeight="1">
      <c r="W614" s="10"/>
      <c r="X614" s="10"/>
    </row>
    <row r="615" ht="15.75" customHeight="1">
      <c r="W615" s="10"/>
      <c r="X615" s="10"/>
    </row>
    <row r="616" ht="15.75" customHeight="1">
      <c r="W616" s="10"/>
      <c r="X616" s="10"/>
    </row>
    <row r="617" ht="15.75" customHeight="1">
      <c r="W617" s="10"/>
      <c r="X617" s="10"/>
    </row>
    <row r="618" ht="15.75" customHeight="1">
      <c r="W618" s="10"/>
      <c r="X618" s="10"/>
    </row>
    <row r="619" ht="15.75" customHeight="1">
      <c r="W619" s="10"/>
      <c r="X619" s="10"/>
    </row>
    <row r="620" ht="15.75" customHeight="1">
      <c r="W620" s="10"/>
      <c r="X620" s="10"/>
    </row>
    <row r="621" ht="15.75" customHeight="1">
      <c r="W621" s="10"/>
      <c r="X621" s="10"/>
    </row>
    <row r="622" ht="15.75" customHeight="1">
      <c r="W622" s="10"/>
      <c r="X622" s="10"/>
    </row>
    <row r="623" ht="15.75" customHeight="1">
      <c r="W623" s="10"/>
      <c r="X623" s="10"/>
    </row>
    <row r="624" ht="15.75" customHeight="1">
      <c r="W624" s="10"/>
      <c r="X624" s="10"/>
    </row>
    <row r="625" ht="15.75" customHeight="1">
      <c r="W625" s="10"/>
      <c r="X625" s="10"/>
    </row>
    <row r="626" ht="15.75" customHeight="1">
      <c r="W626" s="10"/>
      <c r="X626" s="10"/>
    </row>
    <row r="627" ht="15.75" customHeight="1">
      <c r="W627" s="10"/>
      <c r="X627" s="10"/>
    </row>
    <row r="628" ht="15.75" customHeight="1">
      <c r="W628" s="10"/>
      <c r="X628" s="10"/>
    </row>
    <row r="629" ht="15.75" customHeight="1">
      <c r="W629" s="10"/>
      <c r="X629" s="10"/>
    </row>
    <row r="630" ht="15.75" customHeight="1">
      <c r="W630" s="10"/>
      <c r="X630" s="10"/>
    </row>
    <row r="631" ht="15.75" customHeight="1">
      <c r="W631" s="10"/>
      <c r="X631" s="10"/>
    </row>
    <row r="632" ht="15.75" customHeight="1">
      <c r="W632" s="10"/>
      <c r="X632" s="10"/>
    </row>
    <row r="633" ht="15.75" customHeight="1">
      <c r="W633" s="10"/>
      <c r="X633" s="10"/>
    </row>
    <row r="634" ht="15.75" customHeight="1">
      <c r="W634" s="10"/>
      <c r="X634" s="10"/>
    </row>
    <row r="635" ht="15.75" customHeight="1">
      <c r="W635" s="10"/>
      <c r="X635" s="10"/>
    </row>
    <row r="636" ht="15.75" customHeight="1">
      <c r="W636" s="10"/>
      <c r="X636" s="10"/>
    </row>
    <row r="637" ht="15.75" customHeight="1">
      <c r="W637" s="10"/>
      <c r="X637" s="10"/>
    </row>
    <row r="638" ht="15.75" customHeight="1">
      <c r="W638" s="10"/>
      <c r="X638" s="10"/>
    </row>
    <row r="639" ht="15.75" customHeight="1">
      <c r="W639" s="10"/>
      <c r="X639" s="10"/>
    </row>
    <row r="640" ht="15.75" customHeight="1">
      <c r="W640" s="10"/>
      <c r="X640" s="10"/>
    </row>
    <row r="641" ht="15.75" customHeight="1">
      <c r="W641" s="10"/>
      <c r="X641" s="10"/>
    </row>
    <row r="642" ht="15.75" customHeight="1">
      <c r="W642" s="10"/>
      <c r="X642" s="10"/>
    </row>
    <row r="643" ht="15.75" customHeight="1">
      <c r="W643" s="10"/>
      <c r="X643" s="10"/>
    </row>
    <row r="644" ht="15.75" customHeight="1">
      <c r="W644" s="10"/>
      <c r="X644" s="10"/>
    </row>
    <row r="645" ht="15.75" customHeight="1">
      <c r="W645" s="10"/>
      <c r="X645" s="10"/>
    </row>
    <row r="646" ht="15.75" customHeight="1">
      <c r="W646" s="10"/>
      <c r="X646" s="10"/>
    </row>
    <row r="647" ht="15.75" customHeight="1">
      <c r="W647" s="10"/>
      <c r="X647" s="10"/>
    </row>
    <row r="648" ht="15.75" customHeight="1">
      <c r="W648" s="10"/>
      <c r="X648" s="10"/>
    </row>
    <row r="649" ht="15.75" customHeight="1">
      <c r="W649" s="10"/>
      <c r="X649" s="10"/>
    </row>
    <row r="650" ht="15.75" customHeight="1">
      <c r="W650" s="10"/>
      <c r="X650" s="10"/>
    </row>
    <row r="651" ht="15.75" customHeight="1">
      <c r="W651" s="10"/>
      <c r="X651" s="10"/>
    </row>
    <row r="652" ht="15.75" customHeight="1">
      <c r="W652" s="10"/>
      <c r="X652" s="10"/>
    </row>
    <row r="653" ht="15.75" customHeight="1">
      <c r="W653" s="10"/>
      <c r="X653" s="10"/>
    </row>
    <row r="654" ht="15.75" customHeight="1">
      <c r="W654" s="10"/>
      <c r="X654" s="10"/>
    </row>
    <row r="655" ht="15.75" customHeight="1">
      <c r="W655" s="10"/>
      <c r="X655" s="10"/>
    </row>
    <row r="656" ht="15.75" customHeight="1">
      <c r="W656" s="10"/>
      <c r="X656" s="10"/>
    </row>
    <row r="657" ht="15.75" customHeight="1">
      <c r="W657" s="10"/>
      <c r="X657" s="10"/>
    </row>
    <row r="658" ht="15.75" customHeight="1">
      <c r="W658" s="10"/>
      <c r="X658" s="10"/>
    </row>
    <row r="659" ht="15.75" customHeight="1">
      <c r="W659" s="10"/>
      <c r="X659" s="10"/>
    </row>
    <row r="660" ht="15.75" customHeight="1">
      <c r="W660" s="10"/>
      <c r="X660" s="10"/>
    </row>
    <row r="661" ht="15.75" customHeight="1">
      <c r="W661" s="10"/>
      <c r="X661" s="10"/>
    </row>
    <row r="662" ht="15.75" customHeight="1">
      <c r="W662" s="10"/>
      <c r="X662" s="10"/>
    </row>
    <row r="663" ht="15.75" customHeight="1">
      <c r="W663" s="10"/>
      <c r="X663" s="10"/>
    </row>
    <row r="664" ht="15.75" customHeight="1">
      <c r="W664" s="10"/>
      <c r="X664" s="10"/>
    </row>
    <row r="665" ht="15.75" customHeight="1">
      <c r="W665" s="10"/>
      <c r="X665" s="10"/>
    </row>
    <row r="666" ht="15.75" customHeight="1">
      <c r="W666" s="10"/>
      <c r="X666" s="10"/>
    </row>
    <row r="667" ht="15.75" customHeight="1">
      <c r="W667" s="10"/>
      <c r="X667" s="10"/>
    </row>
    <row r="668" ht="15.75" customHeight="1">
      <c r="W668" s="10"/>
      <c r="X668" s="10"/>
    </row>
    <row r="669" ht="15.75" customHeight="1">
      <c r="W669" s="10"/>
      <c r="X669" s="10"/>
    </row>
    <row r="670" ht="15.75" customHeight="1">
      <c r="W670" s="10"/>
      <c r="X670" s="10"/>
    </row>
    <row r="671" ht="15.75" customHeight="1">
      <c r="W671" s="10"/>
      <c r="X671" s="10"/>
    </row>
    <row r="672" ht="15.75" customHeight="1">
      <c r="W672" s="10"/>
      <c r="X672" s="10"/>
    </row>
    <row r="673" ht="15.75" customHeight="1">
      <c r="W673" s="10"/>
      <c r="X673" s="10"/>
    </row>
    <row r="674" ht="15.75" customHeight="1">
      <c r="W674" s="10"/>
      <c r="X674" s="10"/>
    </row>
    <row r="675" ht="15.75" customHeight="1">
      <c r="W675" s="10"/>
      <c r="X675" s="10"/>
    </row>
    <row r="676" ht="15.75" customHeight="1">
      <c r="W676" s="10"/>
      <c r="X676" s="10"/>
    </row>
    <row r="677" ht="15.75" customHeight="1">
      <c r="W677" s="10"/>
      <c r="X677" s="10"/>
    </row>
    <row r="678" ht="15.75" customHeight="1">
      <c r="W678" s="10"/>
      <c r="X678" s="10"/>
    </row>
    <row r="679" ht="15.75" customHeight="1">
      <c r="W679" s="10"/>
      <c r="X679" s="10"/>
    </row>
    <row r="680" ht="15.75" customHeight="1">
      <c r="W680" s="10"/>
      <c r="X680" s="10"/>
    </row>
    <row r="681" ht="15.75" customHeight="1">
      <c r="W681" s="10"/>
      <c r="X681" s="10"/>
    </row>
    <row r="682" ht="15.75" customHeight="1">
      <c r="W682" s="10"/>
      <c r="X682" s="10"/>
    </row>
    <row r="683" ht="15.75" customHeight="1">
      <c r="W683" s="10"/>
      <c r="X683" s="10"/>
    </row>
    <row r="684" ht="15.75" customHeight="1">
      <c r="W684" s="10"/>
      <c r="X684" s="10"/>
    </row>
    <row r="685" ht="15.75" customHeight="1">
      <c r="W685" s="10"/>
      <c r="X685" s="10"/>
    </row>
    <row r="686" ht="15.75" customHeight="1">
      <c r="W686" s="10"/>
      <c r="X686" s="10"/>
    </row>
    <row r="687" ht="15.75" customHeight="1">
      <c r="W687" s="10"/>
      <c r="X687" s="10"/>
    </row>
    <row r="688" ht="15.75" customHeight="1">
      <c r="W688" s="10"/>
      <c r="X688" s="10"/>
    </row>
    <row r="689" ht="15.75" customHeight="1">
      <c r="W689" s="10"/>
      <c r="X689" s="10"/>
    </row>
    <row r="690" ht="15.75" customHeight="1">
      <c r="W690" s="10"/>
      <c r="X690" s="10"/>
    </row>
    <row r="691" ht="15.75" customHeight="1">
      <c r="W691" s="10"/>
      <c r="X691" s="10"/>
    </row>
    <row r="692" ht="15.75" customHeight="1">
      <c r="W692" s="10"/>
      <c r="X692" s="10"/>
    </row>
    <row r="693" ht="15.75" customHeight="1">
      <c r="W693" s="10"/>
      <c r="X693" s="10"/>
    </row>
    <row r="694" ht="15.75" customHeight="1">
      <c r="W694" s="10"/>
      <c r="X694" s="10"/>
    </row>
    <row r="695" ht="15.75" customHeight="1">
      <c r="W695" s="10"/>
      <c r="X695" s="10"/>
    </row>
    <row r="696" ht="15.75" customHeight="1">
      <c r="W696" s="10"/>
      <c r="X696" s="10"/>
    </row>
    <row r="697" ht="15.75" customHeight="1">
      <c r="W697" s="10"/>
      <c r="X697" s="10"/>
    </row>
    <row r="698" ht="15.75" customHeight="1">
      <c r="W698" s="10"/>
      <c r="X698" s="10"/>
    </row>
    <row r="699" ht="15.75" customHeight="1">
      <c r="W699" s="10"/>
      <c r="X699" s="10"/>
    </row>
    <row r="700" ht="15.75" customHeight="1">
      <c r="W700" s="10"/>
      <c r="X700" s="10"/>
    </row>
    <row r="701" ht="15.75" customHeight="1">
      <c r="W701" s="10"/>
      <c r="X701" s="10"/>
    </row>
    <row r="702" ht="15.75" customHeight="1">
      <c r="W702" s="10"/>
      <c r="X702" s="10"/>
    </row>
    <row r="703" ht="15.75" customHeight="1">
      <c r="W703" s="10"/>
      <c r="X703" s="10"/>
    </row>
    <row r="704" ht="15.75" customHeight="1">
      <c r="W704" s="10"/>
      <c r="X704" s="10"/>
    </row>
    <row r="705" ht="15.75" customHeight="1">
      <c r="W705" s="10"/>
      <c r="X705" s="10"/>
    </row>
    <row r="706" ht="15.75" customHeight="1">
      <c r="W706" s="10"/>
      <c r="X706" s="10"/>
    </row>
    <row r="707" ht="15.75" customHeight="1">
      <c r="W707" s="10"/>
      <c r="X707" s="10"/>
    </row>
    <row r="708" ht="15.75" customHeight="1">
      <c r="W708" s="10"/>
      <c r="X708" s="10"/>
    </row>
    <row r="709" ht="15.75" customHeight="1">
      <c r="W709" s="10"/>
      <c r="X709" s="10"/>
    </row>
    <row r="710" ht="15.75" customHeight="1">
      <c r="W710" s="10"/>
      <c r="X710" s="10"/>
    </row>
    <row r="711" ht="15.75" customHeight="1">
      <c r="W711" s="10"/>
      <c r="X711" s="10"/>
    </row>
    <row r="712" ht="15.75" customHeight="1">
      <c r="W712" s="10"/>
      <c r="X712" s="10"/>
    </row>
    <row r="713" ht="15.75" customHeight="1">
      <c r="W713" s="10"/>
      <c r="X713" s="10"/>
    </row>
    <row r="714" ht="15.75" customHeight="1">
      <c r="W714" s="10"/>
      <c r="X714" s="10"/>
    </row>
    <row r="715" ht="15.75" customHeight="1">
      <c r="W715" s="10"/>
      <c r="X715" s="10"/>
    </row>
    <row r="716" ht="15.75" customHeight="1">
      <c r="W716" s="10"/>
      <c r="X716" s="10"/>
    </row>
    <row r="717" ht="15.75" customHeight="1">
      <c r="W717" s="10"/>
      <c r="X717" s="10"/>
    </row>
    <row r="718" ht="15.75" customHeight="1">
      <c r="W718" s="10"/>
      <c r="X718" s="10"/>
    </row>
    <row r="719" ht="15.75" customHeight="1">
      <c r="W719" s="10"/>
      <c r="X719" s="10"/>
    </row>
    <row r="720" ht="15.75" customHeight="1">
      <c r="W720" s="10"/>
      <c r="X720" s="10"/>
    </row>
    <row r="721" ht="15.75" customHeight="1">
      <c r="W721" s="10"/>
      <c r="X721" s="10"/>
    </row>
    <row r="722" ht="15.75" customHeight="1">
      <c r="W722" s="10"/>
      <c r="X722" s="10"/>
    </row>
    <row r="723" ht="15.75" customHeight="1">
      <c r="W723" s="10"/>
      <c r="X723" s="10"/>
    </row>
    <row r="724" ht="15.75" customHeight="1">
      <c r="W724" s="10"/>
      <c r="X724" s="10"/>
    </row>
    <row r="725" ht="15.75" customHeight="1">
      <c r="W725" s="10"/>
      <c r="X725" s="10"/>
    </row>
    <row r="726" ht="15.75" customHeight="1">
      <c r="W726" s="10"/>
      <c r="X726" s="10"/>
    </row>
    <row r="727" ht="15.75" customHeight="1">
      <c r="W727" s="10"/>
      <c r="X727" s="10"/>
    </row>
    <row r="728" ht="15.75" customHeight="1">
      <c r="W728" s="10"/>
      <c r="X728" s="10"/>
    </row>
    <row r="729" ht="15.75" customHeight="1">
      <c r="W729" s="10"/>
      <c r="X729" s="10"/>
    </row>
    <row r="730" ht="15.75" customHeight="1">
      <c r="W730" s="10"/>
      <c r="X730" s="10"/>
    </row>
    <row r="731" ht="15.75" customHeight="1">
      <c r="W731" s="10"/>
      <c r="X731" s="10"/>
    </row>
    <row r="732" ht="15.75" customHeight="1">
      <c r="W732" s="10"/>
      <c r="X732" s="10"/>
    </row>
    <row r="733" ht="15.75" customHeight="1">
      <c r="W733" s="10"/>
      <c r="X733" s="10"/>
    </row>
    <row r="734" ht="15.75" customHeight="1">
      <c r="W734" s="10"/>
      <c r="X734" s="10"/>
    </row>
    <row r="735" ht="15.75" customHeight="1">
      <c r="W735" s="10"/>
      <c r="X735" s="10"/>
    </row>
    <row r="736" ht="15.75" customHeight="1">
      <c r="W736" s="10"/>
      <c r="X736" s="10"/>
    </row>
    <row r="737" ht="15.75" customHeight="1">
      <c r="W737" s="10"/>
      <c r="X737" s="10"/>
    </row>
    <row r="738" ht="15.75" customHeight="1">
      <c r="W738" s="10"/>
      <c r="X738" s="10"/>
    </row>
    <row r="739" ht="15.75" customHeight="1">
      <c r="W739" s="10"/>
      <c r="X739" s="10"/>
    </row>
    <row r="740" ht="15.75" customHeight="1">
      <c r="W740" s="10"/>
      <c r="X740" s="10"/>
    </row>
    <row r="741" ht="15.75" customHeight="1">
      <c r="W741" s="10"/>
      <c r="X741" s="10"/>
    </row>
    <row r="742" ht="15.75" customHeight="1">
      <c r="W742" s="10"/>
      <c r="X742" s="10"/>
    </row>
    <row r="743" ht="15.75" customHeight="1">
      <c r="W743" s="10"/>
      <c r="X743" s="10"/>
    </row>
    <row r="744" ht="15.75" customHeight="1">
      <c r="W744" s="10"/>
      <c r="X744" s="10"/>
    </row>
    <row r="745" ht="15.75" customHeight="1">
      <c r="W745" s="10"/>
      <c r="X745" s="10"/>
    </row>
    <row r="746" ht="15.75" customHeight="1">
      <c r="W746" s="10"/>
      <c r="X746" s="10"/>
    </row>
    <row r="747" ht="15.75" customHeight="1">
      <c r="W747" s="10"/>
      <c r="X747" s="10"/>
    </row>
    <row r="748" ht="15.75" customHeight="1">
      <c r="W748" s="10"/>
      <c r="X748" s="10"/>
    </row>
    <row r="749" ht="15.75" customHeight="1">
      <c r="W749" s="10"/>
      <c r="X749" s="10"/>
    </row>
    <row r="750" ht="15.75" customHeight="1">
      <c r="W750" s="10"/>
      <c r="X750" s="10"/>
    </row>
    <row r="751" ht="15.75" customHeight="1">
      <c r="W751" s="10"/>
      <c r="X751" s="10"/>
    </row>
    <row r="752" ht="15.75" customHeight="1">
      <c r="W752" s="10"/>
      <c r="X752" s="10"/>
    </row>
    <row r="753" ht="15.75" customHeight="1">
      <c r="W753" s="10"/>
      <c r="X753" s="10"/>
    </row>
    <row r="754" ht="15.75" customHeight="1">
      <c r="W754" s="10"/>
      <c r="X754" s="10"/>
    </row>
    <row r="755" ht="15.75" customHeight="1">
      <c r="W755" s="10"/>
      <c r="X755" s="10"/>
    </row>
    <row r="756" ht="15.75" customHeight="1">
      <c r="W756" s="10"/>
      <c r="X756" s="10"/>
    </row>
    <row r="757" ht="15.75" customHeight="1">
      <c r="W757" s="10"/>
      <c r="X757" s="10"/>
    </row>
    <row r="758" ht="15.75" customHeight="1">
      <c r="W758" s="10"/>
      <c r="X758" s="10"/>
    </row>
    <row r="759" ht="15.75" customHeight="1">
      <c r="W759" s="10"/>
      <c r="X759" s="10"/>
    </row>
    <row r="760" ht="15.75" customHeight="1">
      <c r="W760" s="10"/>
      <c r="X760" s="10"/>
    </row>
    <row r="761" ht="15.75" customHeight="1">
      <c r="W761" s="10"/>
      <c r="X761" s="10"/>
    </row>
    <row r="762" ht="15.75" customHeight="1">
      <c r="W762" s="10"/>
      <c r="X762" s="10"/>
    </row>
    <row r="763" ht="15.75" customHeight="1">
      <c r="W763" s="10"/>
      <c r="X763" s="10"/>
    </row>
    <row r="764" ht="15.75" customHeight="1">
      <c r="W764" s="10"/>
      <c r="X764" s="10"/>
    </row>
    <row r="765" ht="15.75" customHeight="1">
      <c r="W765" s="10"/>
      <c r="X765" s="10"/>
    </row>
    <row r="766" ht="15.75" customHeight="1">
      <c r="W766" s="10"/>
      <c r="X766" s="10"/>
    </row>
    <row r="767" ht="15.75" customHeight="1">
      <c r="W767" s="10"/>
      <c r="X767" s="10"/>
    </row>
    <row r="768" ht="15.75" customHeight="1">
      <c r="W768" s="10"/>
      <c r="X768" s="10"/>
    </row>
    <row r="769" ht="15.75" customHeight="1">
      <c r="W769" s="10"/>
      <c r="X769" s="10"/>
    </row>
    <row r="770" ht="15.75" customHeight="1">
      <c r="W770" s="10"/>
      <c r="X770" s="10"/>
    </row>
    <row r="771" ht="15.75" customHeight="1">
      <c r="W771" s="10"/>
      <c r="X771" s="10"/>
    </row>
    <row r="772" ht="15.75" customHeight="1">
      <c r="W772" s="10"/>
      <c r="X772" s="10"/>
    </row>
    <row r="773" ht="15.75" customHeight="1">
      <c r="W773" s="10"/>
      <c r="X773" s="10"/>
    </row>
    <row r="774" ht="15.75" customHeight="1">
      <c r="W774" s="10"/>
      <c r="X774" s="10"/>
    </row>
    <row r="775" ht="15.75" customHeight="1">
      <c r="W775" s="10"/>
      <c r="X775" s="10"/>
    </row>
    <row r="776" ht="15.75" customHeight="1">
      <c r="W776" s="10"/>
      <c r="X776" s="10"/>
    </row>
    <row r="777" ht="15.75" customHeight="1">
      <c r="W777" s="10"/>
      <c r="X777" s="10"/>
    </row>
    <row r="778" ht="15.75" customHeight="1">
      <c r="W778" s="10"/>
      <c r="X778" s="10"/>
    </row>
    <row r="779" ht="15.75" customHeight="1">
      <c r="W779" s="10"/>
      <c r="X779" s="10"/>
    </row>
    <row r="780" ht="15.75" customHeight="1">
      <c r="W780" s="10"/>
      <c r="X780" s="10"/>
    </row>
    <row r="781" ht="15.75" customHeight="1">
      <c r="W781" s="10"/>
      <c r="X781" s="10"/>
    </row>
    <row r="782" ht="15.75" customHeight="1">
      <c r="W782" s="10"/>
      <c r="X782" s="10"/>
    </row>
    <row r="783" ht="15.75" customHeight="1">
      <c r="W783" s="10"/>
      <c r="X783" s="10"/>
    </row>
    <row r="784" ht="15.75" customHeight="1">
      <c r="W784" s="10"/>
      <c r="X784" s="10"/>
    </row>
    <row r="785" ht="15.75" customHeight="1">
      <c r="W785" s="10"/>
      <c r="X785" s="10"/>
    </row>
    <row r="786" ht="15.75" customHeight="1">
      <c r="W786" s="10"/>
      <c r="X786" s="10"/>
    </row>
    <row r="787" ht="15.75" customHeight="1">
      <c r="W787" s="10"/>
      <c r="X787" s="10"/>
    </row>
    <row r="788" ht="15.75" customHeight="1">
      <c r="W788" s="10"/>
      <c r="X788" s="10"/>
    </row>
    <row r="789" ht="15.75" customHeight="1">
      <c r="W789" s="10"/>
      <c r="X789" s="10"/>
    </row>
    <row r="790" ht="15.75" customHeight="1">
      <c r="W790" s="10"/>
      <c r="X790" s="10"/>
    </row>
    <row r="791" ht="15.75" customHeight="1">
      <c r="W791" s="10"/>
      <c r="X791" s="10"/>
    </row>
    <row r="792" ht="15.75" customHeight="1">
      <c r="W792" s="10"/>
      <c r="X792" s="10"/>
    </row>
    <row r="793" ht="15.75" customHeight="1">
      <c r="W793" s="10"/>
      <c r="X793" s="10"/>
    </row>
    <row r="794" ht="15.75" customHeight="1">
      <c r="W794" s="10"/>
      <c r="X794" s="10"/>
    </row>
    <row r="795" ht="15.75" customHeight="1">
      <c r="W795" s="10"/>
      <c r="X795" s="10"/>
    </row>
    <row r="796" ht="15.75" customHeight="1">
      <c r="W796" s="10"/>
      <c r="X796" s="10"/>
    </row>
    <row r="797" ht="15.75" customHeight="1">
      <c r="W797" s="10"/>
      <c r="X797" s="10"/>
    </row>
    <row r="798" ht="15.75" customHeight="1">
      <c r="W798" s="10"/>
      <c r="X798" s="10"/>
    </row>
    <row r="799" ht="15.75" customHeight="1">
      <c r="W799" s="10"/>
      <c r="X799" s="10"/>
    </row>
    <row r="800" ht="15.75" customHeight="1">
      <c r="W800" s="10"/>
      <c r="X800" s="10"/>
    </row>
    <row r="801" ht="15.75" customHeight="1">
      <c r="W801" s="10"/>
      <c r="X801" s="10"/>
    </row>
    <row r="802" ht="15.75" customHeight="1">
      <c r="W802" s="10"/>
      <c r="X802" s="10"/>
    </row>
    <row r="803" ht="15.75" customHeight="1">
      <c r="W803" s="10"/>
      <c r="X803" s="10"/>
    </row>
    <row r="804" ht="15.75" customHeight="1">
      <c r="W804" s="10"/>
      <c r="X804" s="10"/>
    </row>
    <row r="805" ht="15.75" customHeight="1">
      <c r="W805" s="10"/>
      <c r="X805" s="10"/>
    </row>
    <row r="806" ht="15.75" customHeight="1">
      <c r="W806" s="10"/>
      <c r="X806" s="10"/>
    </row>
    <row r="807" ht="15.75" customHeight="1">
      <c r="W807" s="10"/>
      <c r="X807" s="10"/>
    </row>
    <row r="808" ht="15.75" customHeight="1">
      <c r="W808" s="10"/>
      <c r="X808" s="10"/>
    </row>
    <row r="809" ht="15.75" customHeight="1">
      <c r="W809" s="10"/>
      <c r="X809" s="10"/>
    </row>
    <row r="810" ht="15.75" customHeight="1">
      <c r="W810" s="10"/>
      <c r="X810" s="10"/>
    </row>
    <row r="811" ht="15.75" customHeight="1">
      <c r="W811" s="10"/>
      <c r="X811" s="10"/>
    </row>
    <row r="812" ht="15.75" customHeight="1">
      <c r="W812" s="10"/>
      <c r="X812" s="10"/>
    </row>
    <row r="813" ht="15.75" customHeight="1">
      <c r="W813" s="10"/>
      <c r="X813" s="10"/>
    </row>
    <row r="814" ht="15.75" customHeight="1">
      <c r="W814" s="10"/>
      <c r="X814" s="10"/>
    </row>
    <row r="815" ht="15.75" customHeight="1">
      <c r="W815" s="10"/>
      <c r="X815" s="10"/>
    </row>
    <row r="816" ht="15.75" customHeight="1">
      <c r="W816" s="10"/>
      <c r="X816" s="10"/>
    </row>
    <row r="817" ht="15.75" customHeight="1">
      <c r="W817" s="10"/>
      <c r="X817" s="10"/>
    </row>
    <row r="818" ht="15.75" customHeight="1">
      <c r="W818" s="10"/>
      <c r="X818" s="10"/>
    </row>
    <row r="819" ht="15.75" customHeight="1">
      <c r="W819" s="10"/>
      <c r="X819" s="10"/>
    </row>
    <row r="820" ht="15.75" customHeight="1">
      <c r="W820" s="10"/>
      <c r="X820" s="10"/>
    </row>
    <row r="821" ht="15.75" customHeight="1">
      <c r="W821" s="10"/>
      <c r="X821" s="10"/>
    </row>
    <row r="822" ht="15.75" customHeight="1">
      <c r="W822" s="10"/>
      <c r="X822" s="10"/>
    </row>
    <row r="823" ht="15.75" customHeight="1">
      <c r="W823" s="10"/>
      <c r="X823" s="10"/>
    </row>
    <row r="824" ht="15.75" customHeight="1">
      <c r="W824" s="10"/>
      <c r="X824" s="10"/>
    </row>
    <row r="825" ht="15.75" customHeight="1">
      <c r="W825" s="10"/>
      <c r="X825" s="10"/>
    </row>
    <row r="826" ht="15.75" customHeight="1">
      <c r="W826" s="10"/>
      <c r="X826" s="10"/>
    </row>
    <row r="827" ht="15.75" customHeight="1">
      <c r="W827" s="10"/>
      <c r="X827" s="10"/>
    </row>
    <row r="828" ht="15.75" customHeight="1">
      <c r="W828" s="10"/>
      <c r="X828" s="10"/>
    </row>
    <row r="829" ht="15.75" customHeight="1">
      <c r="W829" s="10"/>
      <c r="X829" s="10"/>
    </row>
    <row r="830" ht="15.75" customHeight="1">
      <c r="W830" s="10"/>
      <c r="X830" s="10"/>
    </row>
    <row r="831" ht="15.75" customHeight="1">
      <c r="W831" s="10"/>
      <c r="X831" s="10"/>
    </row>
    <row r="832" ht="15.75" customHeight="1">
      <c r="W832" s="10"/>
      <c r="X832" s="10"/>
    </row>
    <row r="833" ht="15.75" customHeight="1">
      <c r="W833" s="10"/>
      <c r="X833" s="10"/>
    </row>
    <row r="834" ht="15.75" customHeight="1">
      <c r="W834" s="10"/>
      <c r="X834" s="10"/>
    </row>
    <row r="835" ht="15.75" customHeight="1">
      <c r="W835" s="10"/>
      <c r="X835" s="10"/>
    </row>
    <row r="836" ht="15.75" customHeight="1">
      <c r="W836" s="10"/>
      <c r="X836" s="10"/>
    </row>
    <row r="837" ht="15.75" customHeight="1">
      <c r="W837" s="10"/>
      <c r="X837" s="10"/>
    </row>
    <row r="838" ht="15.75" customHeight="1">
      <c r="W838" s="10"/>
      <c r="X838" s="10"/>
    </row>
    <row r="839" ht="15.75" customHeight="1">
      <c r="W839" s="10"/>
      <c r="X839" s="10"/>
    </row>
    <row r="840" ht="15.75" customHeight="1">
      <c r="W840" s="10"/>
      <c r="X840" s="10"/>
    </row>
    <row r="841" ht="15.75" customHeight="1">
      <c r="W841" s="10"/>
      <c r="X841" s="10"/>
    </row>
    <row r="842" ht="15.75" customHeight="1">
      <c r="W842" s="10"/>
      <c r="X842" s="10"/>
    </row>
    <row r="843" ht="15.75" customHeight="1">
      <c r="W843" s="10"/>
      <c r="X843" s="10"/>
    </row>
    <row r="844" ht="15.75" customHeight="1">
      <c r="W844" s="10"/>
      <c r="X844" s="10"/>
    </row>
    <row r="845" ht="15.75" customHeight="1">
      <c r="W845" s="10"/>
      <c r="X845" s="10"/>
    </row>
    <row r="846" ht="15.75" customHeight="1">
      <c r="W846" s="10"/>
      <c r="X846" s="10"/>
    </row>
    <row r="847" ht="15.75" customHeight="1">
      <c r="W847" s="10"/>
      <c r="X847" s="10"/>
    </row>
    <row r="848" ht="15.75" customHeight="1">
      <c r="W848" s="10"/>
      <c r="X848" s="10"/>
    </row>
    <row r="849" ht="15.75" customHeight="1">
      <c r="W849" s="10"/>
      <c r="X849" s="10"/>
    </row>
    <row r="850" ht="15.75" customHeight="1">
      <c r="W850" s="10"/>
      <c r="X850" s="10"/>
    </row>
    <row r="851" ht="15.75" customHeight="1">
      <c r="W851" s="10"/>
      <c r="X851" s="10"/>
    </row>
    <row r="852" ht="15.75" customHeight="1">
      <c r="W852" s="10"/>
      <c r="X852" s="10"/>
    </row>
    <row r="853" ht="15.75" customHeight="1">
      <c r="W853" s="10"/>
      <c r="X853" s="10"/>
    </row>
    <row r="854" ht="15.75" customHeight="1">
      <c r="W854" s="10"/>
      <c r="X854" s="10"/>
    </row>
    <row r="855" ht="15.75" customHeight="1">
      <c r="W855" s="10"/>
      <c r="X855" s="10"/>
    </row>
    <row r="856" ht="15.75" customHeight="1">
      <c r="W856" s="10"/>
      <c r="X856" s="10"/>
    </row>
    <row r="857" ht="15.75" customHeight="1">
      <c r="W857" s="10"/>
      <c r="X857" s="10"/>
    </row>
    <row r="858" ht="15.75" customHeight="1">
      <c r="W858" s="10"/>
      <c r="X858" s="10"/>
    </row>
    <row r="859" ht="15.75" customHeight="1">
      <c r="W859" s="10"/>
      <c r="X859" s="10"/>
    </row>
    <row r="860" ht="15.75" customHeight="1">
      <c r="W860" s="10"/>
      <c r="X860" s="10"/>
    </row>
    <row r="861" ht="15.75" customHeight="1">
      <c r="W861" s="10"/>
      <c r="X861" s="10"/>
    </row>
    <row r="862" ht="15.75" customHeight="1">
      <c r="W862" s="10"/>
      <c r="X862" s="10"/>
    </row>
    <row r="863" ht="15.75" customHeight="1">
      <c r="W863" s="10"/>
      <c r="X863" s="10"/>
    </row>
    <row r="864" ht="15.75" customHeight="1">
      <c r="W864" s="10"/>
      <c r="X864" s="10"/>
    </row>
    <row r="865" ht="15.75" customHeight="1">
      <c r="W865" s="10"/>
      <c r="X865" s="10"/>
    </row>
    <row r="866" ht="15.75" customHeight="1">
      <c r="W866" s="10"/>
      <c r="X866" s="10"/>
    </row>
    <row r="867" ht="15.75" customHeight="1">
      <c r="W867" s="10"/>
      <c r="X867" s="10"/>
    </row>
    <row r="868" ht="15.75" customHeight="1">
      <c r="W868" s="10"/>
      <c r="X868" s="10"/>
    </row>
    <row r="869" ht="15.75" customHeight="1">
      <c r="W869" s="10"/>
      <c r="X869" s="10"/>
    </row>
    <row r="870" ht="15.75" customHeight="1">
      <c r="W870" s="10"/>
      <c r="X870" s="10"/>
    </row>
    <row r="871" ht="15.75" customHeight="1">
      <c r="W871" s="10"/>
      <c r="X871" s="10"/>
    </row>
    <row r="872" ht="15.75" customHeight="1">
      <c r="W872" s="10"/>
      <c r="X872" s="10"/>
    </row>
    <row r="873" ht="15.75" customHeight="1">
      <c r="W873" s="10"/>
      <c r="X873" s="10"/>
    </row>
    <row r="874" ht="15.75" customHeight="1">
      <c r="W874" s="10"/>
      <c r="X874" s="10"/>
    </row>
    <row r="875" ht="15.75" customHeight="1">
      <c r="W875" s="10"/>
      <c r="X875" s="10"/>
    </row>
    <row r="876" ht="15.75" customHeight="1">
      <c r="W876" s="10"/>
      <c r="X876" s="10"/>
    </row>
    <row r="877" ht="15.75" customHeight="1">
      <c r="W877" s="10"/>
      <c r="X877" s="10"/>
    </row>
    <row r="878" ht="15.75" customHeight="1">
      <c r="W878" s="10"/>
      <c r="X878" s="10"/>
    </row>
    <row r="879" ht="15.75" customHeight="1">
      <c r="W879" s="10"/>
      <c r="X879" s="10"/>
    </row>
    <row r="880" ht="15.75" customHeight="1">
      <c r="W880" s="10"/>
      <c r="X880" s="10"/>
    </row>
    <row r="881" ht="15.75" customHeight="1">
      <c r="W881" s="10"/>
      <c r="X881" s="10"/>
    </row>
    <row r="882" ht="15.75" customHeight="1">
      <c r="W882" s="10"/>
      <c r="X882" s="10"/>
    </row>
    <row r="883" ht="15.75" customHeight="1">
      <c r="W883" s="10"/>
      <c r="X883" s="10"/>
    </row>
    <row r="884" ht="15.75" customHeight="1">
      <c r="W884" s="10"/>
      <c r="X884" s="10"/>
    </row>
    <row r="885" ht="15.75" customHeight="1">
      <c r="W885" s="10"/>
      <c r="X885" s="10"/>
    </row>
    <row r="886" ht="15.75" customHeight="1">
      <c r="W886" s="10"/>
      <c r="X886" s="10"/>
    </row>
    <row r="887" ht="15.75" customHeight="1">
      <c r="W887" s="10"/>
      <c r="X887" s="10"/>
    </row>
    <row r="888" ht="15.75" customHeight="1">
      <c r="W888" s="10"/>
      <c r="X888" s="10"/>
    </row>
    <row r="889" ht="15.75" customHeight="1">
      <c r="W889" s="10"/>
      <c r="X889" s="10"/>
    </row>
    <row r="890" ht="15.75" customHeight="1">
      <c r="W890" s="10"/>
      <c r="X890" s="10"/>
    </row>
    <row r="891" ht="15.75" customHeight="1">
      <c r="W891" s="10"/>
      <c r="X891" s="10"/>
    </row>
    <row r="892" ht="15.75" customHeight="1">
      <c r="W892" s="10"/>
      <c r="X892" s="10"/>
    </row>
    <row r="893" ht="15.75" customHeight="1">
      <c r="W893" s="10"/>
      <c r="X893" s="10"/>
    </row>
    <row r="894" ht="15.75" customHeight="1">
      <c r="W894" s="10"/>
      <c r="X894" s="10"/>
    </row>
    <row r="895" ht="15.75" customHeight="1">
      <c r="W895" s="10"/>
      <c r="X895" s="10"/>
    </row>
    <row r="896" ht="15.75" customHeight="1">
      <c r="W896" s="10"/>
      <c r="X896" s="10"/>
    </row>
    <row r="897" ht="15.75" customHeight="1">
      <c r="W897" s="10"/>
      <c r="X897" s="10"/>
    </row>
    <row r="898" ht="15.75" customHeight="1">
      <c r="W898" s="10"/>
      <c r="X898" s="10"/>
    </row>
    <row r="899" ht="15.75" customHeight="1">
      <c r="W899" s="10"/>
      <c r="X899" s="10"/>
    </row>
    <row r="900" ht="15.75" customHeight="1">
      <c r="W900" s="10"/>
      <c r="X900" s="10"/>
    </row>
    <row r="901" ht="15.75" customHeight="1">
      <c r="W901" s="10"/>
      <c r="X901" s="10"/>
    </row>
    <row r="902" ht="15.75" customHeight="1">
      <c r="W902" s="10"/>
      <c r="X902" s="10"/>
    </row>
    <row r="903" ht="15.75" customHeight="1">
      <c r="W903" s="10"/>
      <c r="X903" s="10"/>
    </row>
    <row r="904" ht="15.75" customHeight="1">
      <c r="W904" s="10"/>
      <c r="X904" s="10"/>
    </row>
    <row r="905" ht="15.75" customHeight="1">
      <c r="W905" s="10"/>
      <c r="X905" s="10"/>
    </row>
    <row r="906" ht="15.75" customHeight="1">
      <c r="W906" s="10"/>
      <c r="X906" s="10"/>
    </row>
    <row r="907" ht="15.75" customHeight="1">
      <c r="W907" s="10"/>
      <c r="X907" s="10"/>
    </row>
    <row r="908" ht="15.75" customHeight="1">
      <c r="W908" s="10"/>
      <c r="X908" s="10"/>
    </row>
    <row r="909" ht="15.75" customHeight="1">
      <c r="W909" s="10"/>
      <c r="X909" s="10"/>
    </row>
    <row r="910" ht="15.75" customHeight="1">
      <c r="W910" s="10"/>
      <c r="X910" s="10"/>
    </row>
    <row r="911" ht="15.75" customHeight="1">
      <c r="W911" s="10"/>
      <c r="X911" s="10"/>
    </row>
    <row r="912" ht="15.75" customHeight="1">
      <c r="W912" s="10"/>
      <c r="X912" s="10"/>
    </row>
    <row r="913" ht="15.75" customHeight="1">
      <c r="W913" s="10"/>
      <c r="X913" s="10"/>
    </row>
    <row r="914" ht="15.75" customHeight="1">
      <c r="W914" s="10"/>
      <c r="X914" s="10"/>
    </row>
    <row r="915" ht="15.75" customHeight="1">
      <c r="W915" s="10"/>
      <c r="X915" s="10"/>
    </row>
    <row r="916" ht="15.75" customHeight="1">
      <c r="W916" s="10"/>
      <c r="X916" s="10"/>
    </row>
    <row r="917" ht="15.75" customHeight="1">
      <c r="W917" s="10"/>
      <c r="X917" s="10"/>
    </row>
    <row r="918" ht="15.75" customHeight="1">
      <c r="W918" s="10"/>
      <c r="X918" s="10"/>
    </row>
    <row r="919" ht="15.75" customHeight="1">
      <c r="W919" s="10"/>
      <c r="X919" s="10"/>
    </row>
    <row r="920" ht="15.75" customHeight="1">
      <c r="W920" s="10"/>
      <c r="X920" s="10"/>
    </row>
    <row r="921" ht="15.75" customHeight="1">
      <c r="W921" s="10"/>
      <c r="X921" s="10"/>
    </row>
    <row r="922" ht="15.75" customHeight="1">
      <c r="W922" s="10"/>
      <c r="X922" s="10"/>
    </row>
    <row r="923" ht="15.75" customHeight="1">
      <c r="W923" s="10"/>
      <c r="X923" s="10"/>
    </row>
    <row r="924" ht="15.75" customHeight="1">
      <c r="W924" s="10"/>
      <c r="X924" s="10"/>
    </row>
    <row r="925" ht="15.75" customHeight="1">
      <c r="W925" s="10"/>
      <c r="X925" s="10"/>
    </row>
    <row r="926" ht="15.75" customHeight="1">
      <c r="W926" s="10"/>
      <c r="X926" s="10"/>
    </row>
    <row r="927" ht="15.75" customHeight="1">
      <c r="W927" s="10"/>
      <c r="X927" s="10"/>
    </row>
    <row r="928" ht="15.75" customHeight="1">
      <c r="W928" s="10"/>
      <c r="X928" s="10"/>
    </row>
    <row r="929" ht="15.75" customHeight="1">
      <c r="W929" s="10"/>
      <c r="X929" s="10"/>
    </row>
    <row r="930" ht="15.75" customHeight="1">
      <c r="W930" s="10"/>
      <c r="X930" s="10"/>
    </row>
    <row r="931" ht="15.75" customHeight="1">
      <c r="W931" s="10"/>
      <c r="X931" s="10"/>
    </row>
    <row r="932" ht="15.75" customHeight="1">
      <c r="W932" s="10"/>
      <c r="X932" s="10"/>
    </row>
    <row r="933" ht="15.75" customHeight="1">
      <c r="W933" s="10"/>
      <c r="X933" s="10"/>
    </row>
    <row r="934" ht="15.75" customHeight="1">
      <c r="W934" s="10"/>
      <c r="X934" s="10"/>
    </row>
    <row r="935" ht="15.75" customHeight="1">
      <c r="W935" s="10"/>
      <c r="X935" s="10"/>
    </row>
    <row r="936" ht="15.75" customHeight="1">
      <c r="W936" s="10"/>
      <c r="X936" s="10"/>
    </row>
    <row r="937" ht="15.75" customHeight="1">
      <c r="W937" s="10"/>
      <c r="X937" s="10"/>
    </row>
    <row r="938" ht="15.75" customHeight="1">
      <c r="W938" s="10"/>
      <c r="X938" s="10"/>
    </row>
    <row r="939" ht="15.75" customHeight="1">
      <c r="W939" s="10"/>
      <c r="X939" s="10"/>
    </row>
    <row r="940" ht="15.75" customHeight="1">
      <c r="W940" s="10"/>
      <c r="X940" s="10"/>
    </row>
    <row r="941" ht="15.75" customHeight="1">
      <c r="W941" s="10"/>
      <c r="X941" s="10"/>
    </row>
    <row r="942" ht="15.75" customHeight="1">
      <c r="W942" s="10"/>
      <c r="X942" s="10"/>
    </row>
    <row r="943" ht="15.75" customHeight="1">
      <c r="W943" s="10"/>
      <c r="X943" s="10"/>
    </row>
    <row r="944" ht="15.75" customHeight="1">
      <c r="W944" s="10"/>
      <c r="X944" s="10"/>
    </row>
    <row r="945" ht="15.75" customHeight="1">
      <c r="W945" s="10"/>
      <c r="X945" s="10"/>
    </row>
    <row r="946" ht="15.75" customHeight="1">
      <c r="W946" s="10"/>
      <c r="X946" s="10"/>
    </row>
    <row r="947" ht="15.75" customHeight="1">
      <c r="W947" s="10"/>
      <c r="X947" s="10"/>
    </row>
    <row r="948" ht="15.75" customHeight="1">
      <c r="W948" s="10"/>
      <c r="X948" s="10"/>
    </row>
    <row r="949" ht="15.75" customHeight="1">
      <c r="W949" s="10"/>
      <c r="X949" s="10"/>
    </row>
    <row r="950" ht="15.75" customHeight="1">
      <c r="W950" s="10"/>
      <c r="X950" s="10"/>
    </row>
    <row r="951" ht="15.75" customHeight="1">
      <c r="W951" s="10"/>
      <c r="X951" s="10"/>
    </row>
    <row r="952" ht="15.75" customHeight="1">
      <c r="W952" s="10"/>
      <c r="X952" s="10"/>
    </row>
    <row r="953" ht="15.75" customHeight="1">
      <c r="W953" s="10"/>
      <c r="X953" s="10"/>
    </row>
    <row r="954" ht="15.75" customHeight="1">
      <c r="W954" s="10"/>
      <c r="X954" s="10"/>
    </row>
    <row r="955" ht="15.75" customHeight="1">
      <c r="W955" s="10"/>
      <c r="X955" s="10"/>
    </row>
    <row r="956" ht="15.75" customHeight="1">
      <c r="W956" s="10"/>
      <c r="X956" s="10"/>
    </row>
    <row r="957" ht="15.75" customHeight="1">
      <c r="W957" s="10"/>
      <c r="X957" s="10"/>
    </row>
    <row r="958" ht="15.75" customHeight="1">
      <c r="W958" s="10"/>
      <c r="X958" s="10"/>
    </row>
    <row r="959" ht="15.75" customHeight="1">
      <c r="W959" s="10"/>
      <c r="X959" s="10"/>
    </row>
    <row r="960" ht="15.75" customHeight="1">
      <c r="W960" s="10"/>
      <c r="X960" s="10"/>
    </row>
    <row r="961" ht="15.75" customHeight="1">
      <c r="W961" s="10"/>
      <c r="X961" s="10"/>
    </row>
    <row r="962" ht="15.75" customHeight="1">
      <c r="W962" s="10"/>
      <c r="X962" s="10"/>
    </row>
    <row r="963" ht="15.75" customHeight="1">
      <c r="W963" s="10"/>
      <c r="X963" s="10"/>
    </row>
    <row r="964" ht="15.75" customHeight="1">
      <c r="W964" s="10"/>
      <c r="X964" s="10"/>
    </row>
    <row r="965" ht="15.75" customHeight="1">
      <c r="W965" s="10"/>
      <c r="X965" s="10"/>
    </row>
    <row r="966" ht="15.75" customHeight="1">
      <c r="W966" s="10"/>
      <c r="X966" s="10"/>
    </row>
    <row r="967" ht="15.75" customHeight="1">
      <c r="W967" s="10"/>
      <c r="X967" s="10"/>
    </row>
    <row r="968" ht="15.75" customHeight="1">
      <c r="W968" s="10"/>
      <c r="X968" s="10"/>
    </row>
    <row r="969" ht="15.75" customHeight="1">
      <c r="W969" s="10"/>
      <c r="X969" s="10"/>
    </row>
    <row r="970" ht="15.75" customHeight="1">
      <c r="W970" s="10"/>
      <c r="X970" s="10"/>
    </row>
    <row r="971" ht="15.75" customHeight="1">
      <c r="W971" s="10"/>
      <c r="X971" s="10"/>
    </row>
    <row r="972" ht="15.75" customHeight="1">
      <c r="W972" s="10"/>
      <c r="X972" s="10"/>
    </row>
    <row r="973" ht="15.75" customHeight="1">
      <c r="W973" s="10"/>
      <c r="X973" s="10"/>
    </row>
    <row r="974" ht="15.75" customHeight="1">
      <c r="W974" s="10"/>
      <c r="X974" s="10"/>
    </row>
    <row r="975" ht="15.75" customHeight="1">
      <c r="W975" s="10"/>
      <c r="X975" s="10"/>
    </row>
    <row r="976" ht="15.75" customHeight="1">
      <c r="W976" s="10"/>
      <c r="X976" s="10"/>
    </row>
    <row r="977" ht="15.75" customHeight="1">
      <c r="W977" s="10"/>
      <c r="X977" s="10"/>
    </row>
    <row r="978" ht="15.75" customHeight="1">
      <c r="W978" s="10"/>
      <c r="X978" s="10"/>
    </row>
    <row r="979" ht="15.75" customHeight="1">
      <c r="W979" s="10"/>
      <c r="X979" s="10"/>
    </row>
    <row r="980" ht="15.75" customHeight="1">
      <c r="W980" s="10"/>
      <c r="X980" s="10"/>
    </row>
    <row r="981" ht="15.75" customHeight="1">
      <c r="W981" s="10"/>
      <c r="X981" s="10"/>
    </row>
    <row r="982" ht="15.75" customHeight="1">
      <c r="W982" s="10"/>
      <c r="X982" s="10"/>
    </row>
    <row r="983" ht="15.75" customHeight="1">
      <c r="W983" s="10"/>
      <c r="X983" s="10"/>
    </row>
    <row r="984" ht="15.75" customHeight="1">
      <c r="W984" s="10"/>
      <c r="X984" s="10"/>
    </row>
    <row r="985" ht="15.75" customHeight="1">
      <c r="W985" s="10"/>
      <c r="X985" s="10"/>
    </row>
    <row r="986" ht="15.75" customHeight="1">
      <c r="W986" s="10"/>
      <c r="X986" s="10"/>
    </row>
    <row r="987" ht="15.75" customHeight="1">
      <c r="W987" s="10"/>
      <c r="X987" s="10"/>
    </row>
    <row r="988" ht="15.75" customHeight="1">
      <c r="W988" s="10"/>
      <c r="X988" s="10"/>
    </row>
    <row r="989" ht="15.75" customHeight="1">
      <c r="W989" s="10"/>
      <c r="X989" s="10"/>
    </row>
    <row r="990" ht="15.75" customHeight="1">
      <c r="W990" s="10"/>
      <c r="X990" s="10"/>
    </row>
    <row r="991" ht="15.75" customHeight="1">
      <c r="W991" s="10"/>
      <c r="X991" s="10"/>
    </row>
    <row r="992" ht="15.75" customHeight="1">
      <c r="W992" s="10"/>
      <c r="X992" s="10"/>
    </row>
    <row r="993" ht="15.75" customHeight="1">
      <c r="W993" s="10"/>
      <c r="X993" s="10"/>
    </row>
    <row r="994" ht="15.75" customHeight="1">
      <c r="W994" s="10"/>
      <c r="X994" s="10"/>
    </row>
    <row r="995" ht="15.75" customHeight="1">
      <c r="W995" s="10"/>
      <c r="X995" s="10"/>
    </row>
    <row r="996" ht="15.75" customHeight="1">
      <c r="W996" s="10"/>
      <c r="X996" s="10"/>
    </row>
    <row r="997" ht="15.75" customHeight="1">
      <c r="W997" s="10"/>
      <c r="X997" s="10"/>
    </row>
    <row r="998" ht="15.75" customHeight="1">
      <c r="W998" s="10"/>
      <c r="X998" s="10"/>
    </row>
    <row r="999" ht="15.75" customHeight="1">
      <c r="W999" s="10"/>
      <c r="X999" s="10"/>
    </row>
    <row r="1000" ht="15.75" customHeight="1">
      <c r="W1000" s="10"/>
      <c r="X1000" s="10"/>
    </row>
    <row r="1001" ht="15.75" customHeight="1">
      <c r="W1001" s="10"/>
      <c r="X1001" s="10"/>
    </row>
    <row r="1002" ht="15.75" customHeight="1">
      <c r="W1002" s="10"/>
      <c r="X1002" s="10"/>
    </row>
    <row r="1003" ht="15.75" customHeight="1">
      <c r="W1003" s="10"/>
      <c r="X1003" s="10"/>
    </row>
    <row r="1004" ht="15.75" customHeight="1">
      <c r="W1004" s="10"/>
      <c r="X1004" s="10"/>
    </row>
    <row r="1005" ht="15.75" customHeight="1">
      <c r="W1005" s="10"/>
      <c r="X1005" s="10"/>
    </row>
    <row r="1006" ht="15.75" customHeight="1">
      <c r="W1006" s="10"/>
      <c r="X1006" s="10"/>
    </row>
    <row r="1007" ht="15.75" customHeight="1">
      <c r="W1007" s="10"/>
      <c r="X1007" s="10"/>
    </row>
    <row r="1008" ht="15.75" customHeight="1">
      <c r="W1008" s="10"/>
      <c r="X1008" s="10"/>
    </row>
    <row r="1009" ht="15.75" customHeight="1">
      <c r="W1009" s="10"/>
      <c r="X1009" s="10"/>
    </row>
    <row r="1010" ht="15.75" customHeight="1">
      <c r="W1010" s="10"/>
      <c r="X1010" s="10"/>
    </row>
    <row r="1011" ht="15.75" customHeight="1">
      <c r="W1011" s="10"/>
      <c r="X1011" s="10"/>
    </row>
    <row r="1012" ht="15.75" customHeight="1">
      <c r="W1012" s="10"/>
      <c r="X1012" s="10"/>
    </row>
    <row r="1013" ht="15.75" customHeight="1">
      <c r="W1013" s="10"/>
      <c r="X1013" s="10"/>
    </row>
    <row r="1014" ht="15.75" customHeight="1">
      <c r="W1014" s="10"/>
      <c r="X1014" s="10"/>
    </row>
    <row r="1015" ht="15.75" customHeight="1">
      <c r="W1015" s="10"/>
      <c r="X1015" s="10"/>
    </row>
    <row r="1016" ht="15.75" customHeight="1">
      <c r="W1016" s="10"/>
      <c r="X1016" s="10"/>
    </row>
    <row r="1017" ht="15.75" customHeight="1">
      <c r="W1017" s="10"/>
      <c r="X1017" s="10"/>
    </row>
    <row r="1018" ht="15.75" customHeight="1">
      <c r="W1018" s="10"/>
      <c r="X1018" s="10"/>
    </row>
    <row r="1019" ht="15.75" customHeight="1">
      <c r="W1019" s="10"/>
      <c r="X1019" s="10"/>
    </row>
    <row r="1020" ht="15.75" customHeight="1">
      <c r="W1020" s="10"/>
      <c r="X1020" s="10"/>
    </row>
    <row r="1021" ht="15.75" customHeight="1">
      <c r="W1021" s="10"/>
      <c r="X1021" s="10"/>
    </row>
    <row r="1022" ht="15.75" customHeight="1">
      <c r="W1022" s="10"/>
      <c r="X1022" s="10"/>
    </row>
    <row r="1023" ht="15.75" customHeight="1">
      <c r="W1023" s="10"/>
      <c r="X1023" s="10"/>
    </row>
    <row r="1024" ht="15.75" customHeight="1">
      <c r="W1024" s="10"/>
      <c r="X1024" s="10"/>
    </row>
    <row r="1025" ht="15.75" customHeight="1">
      <c r="W1025" s="10"/>
      <c r="X1025" s="10"/>
    </row>
    <row r="1026" ht="15.75" customHeight="1">
      <c r="W1026" s="10"/>
      <c r="X1026" s="10"/>
    </row>
    <row r="1027" ht="15.75" customHeight="1">
      <c r="W1027" s="10"/>
      <c r="X1027" s="10"/>
    </row>
    <row r="1028" ht="15.75" customHeight="1">
      <c r="W1028" s="10"/>
      <c r="X1028" s="10"/>
    </row>
    <row r="1029" ht="15.75" customHeight="1">
      <c r="W1029" s="10"/>
      <c r="X1029" s="10"/>
    </row>
    <row r="1030" ht="15.75" customHeight="1">
      <c r="W1030" s="10"/>
      <c r="X1030" s="10"/>
    </row>
    <row r="1031" ht="15.75" customHeight="1">
      <c r="W1031" s="10"/>
      <c r="X1031" s="10"/>
    </row>
    <row r="1032" ht="15.75" customHeight="1">
      <c r="W1032" s="10"/>
      <c r="X1032" s="10"/>
    </row>
    <row r="1033" ht="15.75" customHeight="1">
      <c r="W1033" s="10"/>
      <c r="X1033" s="10"/>
    </row>
    <row r="1034" ht="15.75" customHeight="1">
      <c r="W1034" s="10"/>
      <c r="X1034" s="10"/>
    </row>
    <row r="1035" ht="15.75" customHeight="1">
      <c r="W1035" s="10"/>
      <c r="X1035" s="10"/>
    </row>
    <row r="1036" ht="15.75" customHeight="1">
      <c r="W1036" s="10"/>
      <c r="X1036" s="10"/>
    </row>
    <row r="1037" ht="15.75" customHeight="1">
      <c r="W1037" s="10"/>
      <c r="X1037" s="10"/>
    </row>
    <row r="1038" ht="15.75" customHeight="1">
      <c r="W1038" s="10"/>
      <c r="X1038" s="10"/>
    </row>
    <row r="1039" ht="15.75" customHeight="1">
      <c r="W1039" s="10"/>
      <c r="X1039" s="10"/>
    </row>
    <row r="1040" ht="15.75" customHeight="1">
      <c r="W1040" s="10"/>
      <c r="X1040" s="10"/>
    </row>
    <row r="1041" ht="15.75" customHeight="1">
      <c r="W1041" s="10"/>
      <c r="X1041" s="10"/>
    </row>
    <row r="1042" ht="15.75" customHeight="1">
      <c r="W1042" s="10"/>
      <c r="X1042" s="10"/>
    </row>
    <row r="1043" ht="15.75" customHeight="1">
      <c r="W1043" s="10"/>
      <c r="X1043" s="10"/>
    </row>
    <row r="1044" ht="15.75" customHeight="1">
      <c r="W1044" s="10"/>
      <c r="X1044" s="10"/>
    </row>
    <row r="1045" ht="15.75" customHeight="1">
      <c r="W1045" s="10"/>
      <c r="X1045" s="10"/>
    </row>
    <row r="1046" ht="15.75" customHeight="1">
      <c r="W1046" s="10"/>
      <c r="X1046" s="10"/>
    </row>
    <row r="1047" ht="15.75" customHeight="1">
      <c r="W1047" s="10"/>
      <c r="X1047" s="10"/>
    </row>
    <row r="1048" ht="15.75" customHeight="1">
      <c r="W1048" s="10"/>
      <c r="X1048" s="10"/>
    </row>
    <row r="1049" ht="15.75" customHeight="1">
      <c r="W1049" s="10"/>
      <c r="X1049" s="10"/>
    </row>
    <row r="1050" ht="15.75" customHeight="1">
      <c r="W1050" s="10"/>
      <c r="X1050" s="10"/>
    </row>
    <row r="1051" ht="15.75" customHeight="1">
      <c r="W1051" s="10"/>
      <c r="X1051" s="10"/>
    </row>
    <row r="1052" ht="15.75" customHeight="1">
      <c r="W1052" s="10"/>
      <c r="X1052" s="10"/>
    </row>
    <row r="1053" ht="15.75" customHeight="1">
      <c r="W1053" s="10"/>
      <c r="X1053" s="10"/>
    </row>
    <row r="1054" ht="15.75" customHeight="1">
      <c r="W1054" s="10"/>
      <c r="X1054" s="10"/>
    </row>
    <row r="1055" ht="15.75" customHeight="1">
      <c r="W1055" s="10"/>
      <c r="X1055" s="10"/>
    </row>
    <row r="1056" ht="15.75" customHeight="1">
      <c r="W1056" s="10"/>
      <c r="X1056" s="10"/>
    </row>
    <row r="1057" ht="15.75" customHeight="1">
      <c r="W1057" s="10"/>
      <c r="X1057" s="10"/>
    </row>
    <row r="1058" ht="15.75" customHeight="1">
      <c r="W1058" s="10"/>
      <c r="X1058" s="10"/>
    </row>
    <row r="1059" ht="15.75" customHeight="1">
      <c r="W1059" s="10"/>
      <c r="X1059" s="10"/>
    </row>
    <row r="1060" ht="15.75" customHeight="1">
      <c r="W1060" s="10"/>
      <c r="X1060" s="10"/>
    </row>
    <row r="1061" ht="15.75" customHeight="1">
      <c r="W1061" s="10"/>
      <c r="X1061" s="10"/>
    </row>
    <row r="1062" ht="15.75" customHeight="1">
      <c r="W1062" s="10"/>
      <c r="X1062" s="10"/>
    </row>
    <row r="1063" ht="15.75" customHeight="1">
      <c r="W1063" s="10"/>
      <c r="X1063" s="10"/>
    </row>
    <row r="1064" ht="15.75" customHeight="1">
      <c r="W1064" s="10"/>
      <c r="X1064" s="10"/>
    </row>
    <row r="1065" ht="15.75" customHeight="1">
      <c r="W1065" s="10"/>
      <c r="X1065" s="10"/>
    </row>
    <row r="1066" ht="15.75" customHeight="1">
      <c r="W1066" s="10"/>
      <c r="X1066" s="10"/>
    </row>
    <row r="1067" ht="15.75" customHeight="1">
      <c r="W1067" s="10"/>
      <c r="X1067" s="10"/>
    </row>
    <row r="1068" ht="15.75" customHeight="1">
      <c r="W1068" s="10"/>
      <c r="X1068" s="10"/>
    </row>
    <row r="1069" ht="15.75" customHeight="1">
      <c r="W1069" s="10"/>
      <c r="X1069" s="10"/>
    </row>
    <row r="1070" ht="15.75" customHeight="1">
      <c r="W1070" s="10"/>
      <c r="X1070" s="10"/>
    </row>
    <row r="1071" ht="15.75" customHeight="1">
      <c r="W1071" s="10"/>
      <c r="X1071" s="10"/>
    </row>
    <row r="1072" ht="15.75" customHeight="1">
      <c r="W1072" s="10"/>
      <c r="X1072" s="10"/>
    </row>
    <row r="1073" ht="15.75" customHeight="1">
      <c r="W1073" s="10"/>
      <c r="X1073" s="10"/>
    </row>
    <row r="1074">
      <c r="W1074" s="10"/>
      <c r="X1074" s="10"/>
    </row>
    <row r="1075">
      <c r="W1075" s="10"/>
      <c r="X1075" s="10"/>
    </row>
  </sheetData>
  <mergeCells count="166">
    <mergeCell ref="N316:O316"/>
    <mergeCell ref="N317:O317"/>
    <mergeCell ref="N318:O318"/>
    <mergeCell ref="N320:T322"/>
    <mergeCell ref="X320:AD322"/>
    <mergeCell ref="AH320:AN322"/>
    <mergeCell ref="X304:Y304"/>
    <mergeCell ref="X308:Y308"/>
    <mergeCell ref="N314:O314"/>
    <mergeCell ref="X314:Y314"/>
    <mergeCell ref="N315:O315"/>
    <mergeCell ref="X315:Y315"/>
    <mergeCell ref="X316:Y316"/>
    <mergeCell ref="X285:Z285"/>
    <mergeCell ref="AH285:AJ285"/>
    <mergeCell ref="N280:Q280"/>
    <mergeCell ref="X280:AA280"/>
    <mergeCell ref="AH280:AK280"/>
    <mergeCell ref="N282:O282"/>
    <mergeCell ref="AH282:AI282"/>
    <mergeCell ref="N285:P285"/>
    <mergeCell ref="AH286:AI286"/>
    <mergeCell ref="N286:O286"/>
    <mergeCell ref="N291:R291"/>
    <mergeCell ref="X291:AB291"/>
    <mergeCell ref="AH291:AL291"/>
    <mergeCell ref="N293:O293"/>
    <mergeCell ref="X293:Y293"/>
    <mergeCell ref="AH293:AI293"/>
    <mergeCell ref="N296:P296"/>
    <mergeCell ref="X296:Z296"/>
    <mergeCell ref="AH296:AJ296"/>
    <mergeCell ref="N297:O297"/>
    <mergeCell ref="X297:Y297"/>
    <mergeCell ref="AH297:AI297"/>
    <mergeCell ref="C302:L302"/>
    <mergeCell ref="X307:Z307"/>
    <mergeCell ref="AH307:AJ307"/>
    <mergeCell ref="AH314:AI314"/>
    <mergeCell ref="AH315:AI315"/>
    <mergeCell ref="AH316:AI316"/>
    <mergeCell ref="AH317:AI317"/>
    <mergeCell ref="AH318:AI318"/>
    <mergeCell ref="N302:R302"/>
    <mergeCell ref="X302:AB302"/>
    <mergeCell ref="AH302:AL302"/>
    <mergeCell ref="N304:O304"/>
    <mergeCell ref="AH304:AI304"/>
    <mergeCell ref="N307:P307"/>
    <mergeCell ref="N308:O308"/>
    <mergeCell ref="AH308:AI308"/>
    <mergeCell ref="X317:Y317"/>
    <mergeCell ref="X318:Y318"/>
    <mergeCell ref="W62:X62"/>
    <mergeCell ref="Y62:Z62"/>
    <mergeCell ref="W63:X63"/>
    <mergeCell ref="W64:X64"/>
    <mergeCell ref="W65:X65"/>
    <mergeCell ref="W67:X67"/>
    <mergeCell ref="W68:X68"/>
    <mergeCell ref="W66:X66"/>
    <mergeCell ref="Y66:Z66"/>
    <mergeCell ref="W132:X132"/>
    <mergeCell ref="W159:X159"/>
    <mergeCell ref="W101:X101"/>
    <mergeCell ref="W127:X127"/>
    <mergeCell ref="Y127:Z127"/>
    <mergeCell ref="W129:X129"/>
    <mergeCell ref="Y129:Z129"/>
    <mergeCell ref="Y132:Z132"/>
    <mergeCell ref="B156:U156"/>
    <mergeCell ref="B238:U238"/>
    <mergeCell ref="N240:U240"/>
    <mergeCell ref="N268:Q268"/>
    <mergeCell ref="X268:AA268"/>
    <mergeCell ref="AH268:AK268"/>
    <mergeCell ref="X275:Z275"/>
    <mergeCell ref="AH275:AJ275"/>
    <mergeCell ref="N275:P275"/>
    <mergeCell ref="N276:Q276"/>
    <mergeCell ref="X276:AA276"/>
    <mergeCell ref="AH276:AK276"/>
    <mergeCell ref="N277:Q277"/>
    <mergeCell ref="X277:AA277"/>
    <mergeCell ref="AH277:AK277"/>
    <mergeCell ref="X282:Y282"/>
    <mergeCell ref="X286:Y286"/>
    <mergeCell ref="W69:X69"/>
    <mergeCell ref="W70:X70"/>
    <mergeCell ref="W80:X80"/>
    <mergeCell ref="W81:X81"/>
    <mergeCell ref="B98:U98"/>
    <mergeCell ref="W71:X71"/>
    <mergeCell ref="W82:X82"/>
    <mergeCell ref="W75:X75"/>
    <mergeCell ref="W76:X76"/>
    <mergeCell ref="Y75:Z75"/>
    <mergeCell ref="W72:X72"/>
    <mergeCell ref="Y72:Z72"/>
    <mergeCell ref="W74:X74"/>
    <mergeCell ref="Y74:Z74"/>
    <mergeCell ref="Y71:Z71"/>
    <mergeCell ref="Y82:Z82"/>
    <mergeCell ref="W42:X42"/>
    <mergeCell ref="Y42:Z42"/>
    <mergeCell ref="W41:X41"/>
    <mergeCell ref="W43:X43"/>
    <mergeCell ref="W44:X44"/>
    <mergeCell ref="W46:X46"/>
    <mergeCell ref="W47:X47"/>
    <mergeCell ref="Y45:Z45"/>
    <mergeCell ref="W45:X45"/>
    <mergeCell ref="W13:X13"/>
    <mergeCell ref="Y13:Z13"/>
    <mergeCell ref="W7:X7"/>
    <mergeCell ref="W8:X8"/>
    <mergeCell ref="W9:X9"/>
    <mergeCell ref="W10:X10"/>
    <mergeCell ref="W11:X11"/>
    <mergeCell ref="Y11:Z11"/>
    <mergeCell ref="W15:X15"/>
    <mergeCell ref="W1:X1"/>
    <mergeCell ref="C3:J3"/>
    <mergeCell ref="Q3:U3"/>
    <mergeCell ref="B4:U4"/>
    <mergeCell ref="W6:X6"/>
    <mergeCell ref="Y6:Z6"/>
    <mergeCell ref="Y7:Z7"/>
    <mergeCell ref="W30:X30"/>
    <mergeCell ref="W31:X31"/>
    <mergeCell ref="W17:X17"/>
    <mergeCell ref="W19:X19"/>
    <mergeCell ref="W21:X21"/>
    <mergeCell ref="W23:X23"/>
    <mergeCell ref="W25:X25"/>
    <mergeCell ref="W32:X32"/>
    <mergeCell ref="W33:X33"/>
    <mergeCell ref="W34:X34"/>
    <mergeCell ref="W35:X35"/>
    <mergeCell ref="W37:X37"/>
    <mergeCell ref="W38:X38"/>
    <mergeCell ref="W40:X40"/>
    <mergeCell ref="Y31:Z31"/>
    <mergeCell ref="W48:X48"/>
    <mergeCell ref="W49:X49"/>
    <mergeCell ref="W50:X50"/>
    <mergeCell ref="W51:X51"/>
    <mergeCell ref="W53:X53"/>
    <mergeCell ref="W54:X54"/>
    <mergeCell ref="W52:X52"/>
    <mergeCell ref="W55:X55"/>
    <mergeCell ref="Y55:Z55"/>
    <mergeCell ref="Y52:Z52"/>
    <mergeCell ref="W56:X56"/>
    <mergeCell ref="W57:X57"/>
    <mergeCell ref="W59:X59"/>
    <mergeCell ref="W60:X60"/>
    <mergeCell ref="W61:X61"/>
    <mergeCell ref="W58:X58"/>
    <mergeCell ref="Y58:Z58"/>
    <mergeCell ref="Y15:Z15"/>
    <mergeCell ref="Y17:Z17"/>
    <mergeCell ref="Y19:Z19"/>
    <mergeCell ref="Y21:Z21"/>
    <mergeCell ref="Y23:Z23"/>
    <mergeCell ref="Y25:Z25"/>
  </mergeCells>
  <printOptions/>
  <pageMargins bottom="0.0" footer="0.0" header="0.0" left="0.0" right="0.0" top="0.0"/>
  <pageSetup fitToHeight="0" paperSize="8" orientation="landscape"/>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2023-05-13T15:47:46Z</dcterms:created>
</cp:coreProperties>
</file>