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eat Sheet" sheetId="1" r:id="rId3"/>
    <sheet state="visible" name="Example Calculator" sheetId="2" r:id="rId4"/>
    <sheet state="visible" name="Linked Calculator" sheetId="3" r:id="rId5"/>
  </sheets>
  <definedNames/>
  <calcPr/>
</workbook>
</file>

<file path=xl/sharedStrings.xml><?xml version="1.0" encoding="utf-8"?>
<sst xmlns="http://schemas.openxmlformats.org/spreadsheetml/2006/main" count="215" uniqueCount="119">
  <si>
    <t>Cheat Sheet: Balance Sheet Ratios</t>
  </si>
  <si>
    <t>Ratios to evaluate credit health and management’s operating capital efficiency.</t>
  </si>
  <si>
    <t>Interest Coverage Ratios</t>
  </si>
  <si>
    <t>Calculation</t>
  </si>
  <si>
    <t>Healthy</t>
  </si>
  <si>
    <t>Ratios that specifically measure a business's ability to make interest payments.</t>
  </si>
  <si>
    <t>EBIT Interest Coverage</t>
  </si>
  <si>
    <t>Earnings Before Interest &amp; Taxes / Interest Expense</t>
  </si>
  <si>
    <t>&gt; 3.0x</t>
  </si>
  <si>
    <t>EBITDA Interest Coverage</t>
  </si>
  <si>
    <t>Earnings Before Interest, Taxes, Depreciation &amp; Amortization / Interest Expense</t>
  </si>
  <si>
    <t>&gt; 4.0x</t>
  </si>
  <si>
    <t>EBITDA less CapEx Interest Coverage</t>
  </si>
  <si>
    <t>(EBITDA - 2 Year Average Capital Expenditures) / Interest Expense</t>
  </si>
  <si>
    <t>Leverage Ratios</t>
  </si>
  <si>
    <t>Ratios that measure the use of debt. High leverage makes good times better and bad times worse.</t>
  </si>
  <si>
    <t>Debt to Equity</t>
  </si>
  <si>
    <t>(Current Debt + Long Term Debt) / Common Equity</t>
  </si>
  <si>
    <t>&lt; 75%</t>
  </si>
  <si>
    <t>Debt to Tangible Equity</t>
  </si>
  <si>
    <t>(Current Debt + Long Term Debt) / (Common Equity - Intangible Assets)</t>
  </si>
  <si>
    <t>&lt; 100%</t>
  </si>
  <si>
    <t>Debt To Total Capital</t>
  </si>
  <si>
    <t>(Current Debt + Long Term Debt) / (Total Debt + Market Capitalization)</t>
  </si>
  <si>
    <t>&lt; 30%</t>
  </si>
  <si>
    <t>Cash Flow to Total Debt</t>
  </si>
  <si>
    <t>Cash Flow from Operations / Total Debt</t>
  </si>
  <si>
    <t>&gt; 10%</t>
  </si>
  <si>
    <t>Liabilities to Assets</t>
  </si>
  <si>
    <t>Total Liabilities / Total Assets</t>
  </si>
  <si>
    <t>&lt; 50%</t>
  </si>
  <si>
    <t>Liquidity Ratios</t>
  </si>
  <si>
    <t>Ratios that measures a business's ability to service its working capital requirements and debt.</t>
  </si>
  <si>
    <t>Cash Ratio</t>
  </si>
  <si>
    <t>(Cash &amp; Short Term Investments) / Current Liabilities</t>
  </si>
  <si>
    <t>&gt; 0.75x</t>
  </si>
  <si>
    <t>Quick Ratio</t>
  </si>
  <si>
    <t>(Cash &amp; Short Term Investments + Receivables) / Current Liabilities</t>
  </si>
  <si>
    <t>&gt; 1.0x</t>
  </si>
  <si>
    <t>Current Ratio</t>
  </si>
  <si>
    <t>Current Assets / Current Liabilities</t>
  </si>
  <si>
    <t>&gt; 1.5x</t>
  </si>
  <si>
    <t>Asset &amp; Inventory Ratios</t>
  </si>
  <si>
    <t>Ratios that measure efficiency of cash required to maintain inventory.</t>
  </si>
  <si>
    <t>Asset Turnover</t>
  </si>
  <si>
    <t>Sales / Average Total Assets</t>
  </si>
  <si>
    <t>Fixed Asset Turnover</t>
  </si>
  <si>
    <t>Sales / Average Net Property, Plant, and Equipment</t>
  </si>
  <si>
    <t>&gt; 2.0x</t>
  </si>
  <si>
    <t>Inventory Turnover</t>
  </si>
  <si>
    <t>COGS / Average Inventory</t>
  </si>
  <si>
    <t>&gt; 8.0x</t>
  </si>
  <si>
    <t>Cash Conversion Cycle</t>
  </si>
  <si>
    <t>Days Sales Outstanding + Days Inventory Outstanding - Days Payable Outstanding</t>
  </si>
  <si>
    <t>&lt; 45 days</t>
  </si>
  <si>
    <t>Supporting Calculations</t>
  </si>
  <si>
    <t>Days Sales Outstanding</t>
  </si>
  <si>
    <t>(Average Accounts Receivable / Sales) x 365</t>
  </si>
  <si>
    <t>Days Inventory Outstanding</t>
  </si>
  <si>
    <t>(Average Inventory / Cost of Sales) x 365</t>
  </si>
  <si>
    <t>Days Payable Outstanding</t>
  </si>
  <si>
    <t>(Average Accounts Payable / Cost of Sales) x 365</t>
  </si>
  <si>
    <t>&gt; 45 days</t>
  </si>
  <si>
    <t>Created by:</t>
  </si>
  <si>
    <t>finbox.io</t>
  </si>
  <si>
    <t>Balance Sheet Ratios</t>
  </si>
  <si>
    <t>Instructions:</t>
  </si>
  <si>
    <t>1)</t>
  </si>
  <si>
    <t>To use this tab, please update the cells highlighed in yellow</t>
  </si>
  <si>
    <t>Ticker</t>
  </si>
  <si>
    <t>KO</t>
  </si>
  <si>
    <r>
      <rPr/>
      <t xml:space="preserve">and colored in </t>
    </r>
    <r>
      <rPr>
        <b/>
        <color rgb="FF1155CC"/>
      </rPr>
      <t>blue</t>
    </r>
    <r>
      <rPr/>
      <t xml:space="preserve"> manually. Update financial data in starting </t>
    </r>
    <r>
      <rPr>
        <b/>
      </rPr>
      <t>Row 52</t>
    </r>
  </si>
  <si>
    <t>Company Name</t>
  </si>
  <si>
    <t>Coca-Cola Company (The)</t>
  </si>
  <si>
    <t>2)</t>
  </si>
  <si>
    <r>
      <rPr>
        <rFont val="Roboto"/>
      </rPr>
      <t xml:space="preserve">Ratios starting at </t>
    </r>
    <r>
      <rPr>
        <rFont val="Roboto"/>
        <b/>
      </rPr>
      <t>Row 14</t>
    </r>
    <r>
      <rPr>
        <rFont val="Roboto"/>
      </rPr>
      <t xml:space="preserve"> will update automatically</t>
    </r>
  </si>
  <si>
    <t>Sector</t>
  </si>
  <si>
    <t>Consumer Staples</t>
  </si>
  <si>
    <t>Interpretation</t>
  </si>
  <si>
    <t>Formula</t>
  </si>
  <si>
    <t>Supporting Calculations:</t>
  </si>
  <si>
    <t>Required Data: Update Highlighted Cells With Data</t>
  </si>
  <si>
    <t>Latest</t>
  </si>
  <si>
    <t>Prior</t>
  </si>
  <si>
    <t>Period Date</t>
  </si>
  <si>
    <t>Income Statement</t>
  </si>
  <si>
    <t>Sales</t>
  </si>
  <si>
    <t>Cost of Goods Sold</t>
  </si>
  <si>
    <t>EBIT</t>
  </si>
  <si>
    <t>EBITDA</t>
  </si>
  <si>
    <t>Interest Expense</t>
  </si>
  <si>
    <t>Statement of Cash Flows</t>
  </si>
  <si>
    <t>Capital Expenditures</t>
  </si>
  <si>
    <t>Cash Flow From Operations</t>
  </si>
  <si>
    <t>Balance Sheet</t>
  </si>
  <si>
    <t>Cash</t>
  </si>
  <si>
    <t>Short Term Investments</t>
  </si>
  <si>
    <t>Receivables</t>
  </si>
  <si>
    <t>Net Property, Plant, and Equipment</t>
  </si>
  <si>
    <t>Inventory</t>
  </si>
  <si>
    <t>Intangible Assets</t>
  </si>
  <si>
    <t>Current Assets</t>
  </si>
  <si>
    <t>Total Assets</t>
  </si>
  <si>
    <t>Payables</t>
  </si>
  <si>
    <t>Current Debt</t>
  </si>
  <si>
    <t>Long Term Debt</t>
  </si>
  <si>
    <t>Current Liabilities</t>
  </si>
  <si>
    <t>Total Liabilities</t>
  </si>
  <si>
    <t>Common Equity</t>
  </si>
  <si>
    <t>Market Value of Equity (Market Cap)</t>
  </si>
  <si>
    <t>To use this tab, please install the finbox.io Spreadsheet Add-on</t>
  </si>
  <si>
    <t>https://finbox.com/integrations/excel</t>
  </si>
  <si>
    <t>Login to the add-on using your finbox.io credentials</t>
  </si>
  <si>
    <t>3)</t>
  </si>
  <si>
    <t>Change the ticker is cell "C5"</t>
  </si>
  <si>
    <t>4)</t>
  </si>
  <si>
    <r>
      <rPr>
        <rFont val="Roboto"/>
      </rPr>
      <t xml:space="preserve">Wait for data in the cells highlighted in yellow and colored in </t>
    </r>
    <r>
      <rPr>
        <rFont val="Roboto"/>
        <b/>
        <color rgb="FF9900FF"/>
      </rPr>
      <t>purple</t>
    </r>
    <r>
      <rPr>
        <rFont val="Roboto"/>
      </rPr>
      <t xml:space="preserve"> to populate.</t>
    </r>
  </si>
  <si>
    <r>
      <rPr>
        <rFont val="Roboto"/>
      </rPr>
      <t xml:space="preserve">Ratios starting at </t>
    </r>
    <r>
      <rPr>
        <rFont val="Roboto"/>
        <b/>
      </rPr>
      <t>Row 14</t>
    </r>
    <r>
      <rPr>
        <rFont val="Roboto"/>
      </rPr>
      <t xml:space="preserve"> will update automatically</t>
    </r>
  </si>
  <si>
    <t>Required 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</si>
</sst>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x"/>
    <numFmt numFmtId="165" formatCode="0.0%"/>
    <numFmt numFmtId="166" formatCode="#,# &quot;days&quot;"/>
    <numFmt numFmtId="167" formatCode="M/d/yyyy"/>
    <numFmt numFmtId="168" formatCode="#,##0.0"/>
  </numFmts>
  <fonts count="17">
    <font>
      <sz val="10.0"/>
      <color rgb="FF000000"/>
      <name val="Arial"/>
    </font>
    <font>
      <name val="Roboto"/>
    </font>
    <font>
      <b/>
      <sz val="16.0"/>
      <name val="Roboto"/>
    </font>
    <font>
      <b/>
      <name val="Roboto"/>
    </font>
    <font>
      <i/>
      <name val="Roboto"/>
    </font>
    <font/>
    <font>
      <color rgb="FF000000"/>
      <name val="Arial"/>
    </font>
    <font>
      <b/>
      <sz val="15.0"/>
      <name val="Roboto"/>
    </font>
    <font>
      <u/>
      <sz val="15.0"/>
      <color rgb="FF0000FF"/>
      <name val="Roboto"/>
    </font>
    <font>
      <b/>
      <color rgb="FFFF0000"/>
      <name val="Roboto"/>
    </font>
    <font>
      <b/>
    </font>
    <font>
      <b/>
      <color rgb="FF1155CC"/>
      <name val="Roboto"/>
    </font>
    <font>
      <color rgb="FF1155CC"/>
      <name val="Roboto"/>
    </font>
    <font>
      <u/>
    </font>
    <font>
      <u/>
      <name val="Roboto"/>
    </font>
    <font>
      <u/>
      <color rgb="FF0000FF"/>
      <name val="Roboto"/>
    </font>
    <font>
      <color rgb="FF9900FF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CFCFC"/>
        <bgColor rgb="FFFCFCFC"/>
      </patternFill>
    </fill>
    <fill>
      <patternFill patternType="solid">
        <fgColor rgb="FFFFFFFF"/>
        <bgColor rgb="FFFFFFFF"/>
      </patternFill>
    </fill>
    <fill>
      <patternFill patternType="solid">
        <fgColor rgb="FFFCFAE1"/>
        <bgColor rgb="FFFCFAE1"/>
      </patternFill>
    </fill>
    <fill>
      <patternFill patternType="solid">
        <fgColor rgb="FFF3F3F3"/>
        <bgColor rgb="FFF3F3F3"/>
      </patternFill>
    </fill>
  </fills>
  <borders count="6">
    <border/>
    <border>
      <bottom style="thin">
        <color rgb="FF999999"/>
      </bottom>
    </border>
    <border>
      <bottom style="thin">
        <color rgb="FF666666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2" fontId="3" numFmtId="0" xfId="0" applyAlignment="1" applyBorder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3" fontId="6" numFmtId="0" xfId="0" applyAlignment="1" applyFill="1" applyFont="1">
      <alignment horizontal="left"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2" fillId="0" fontId="2" numFmtId="0" xfId="0" applyAlignment="1" applyBorder="1" applyFont="1">
      <alignment horizontal="center" readingOrder="0"/>
    </xf>
    <xf borderId="2" fillId="0" fontId="5" numFmtId="0" xfId="0" applyBorder="1" applyFont="1"/>
    <xf borderId="2" fillId="0" fontId="1" numFmtId="0" xfId="0" applyAlignment="1" applyBorder="1" applyFont="1">
      <alignment horizontal="center" readingOrder="0"/>
    </xf>
    <xf borderId="0" fillId="0" fontId="9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0" numFmtId="0" xfId="0" applyAlignment="1" applyFont="1">
      <alignment readingOrder="0"/>
    </xf>
    <xf borderId="0" fillId="4" fontId="11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4" fontId="12" numFmtId="0" xfId="0" applyAlignment="1" applyFont="1">
      <alignment horizontal="left" readingOrder="0"/>
    </xf>
    <xf borderId="0" fillId="2" fontId="3" numFmtId="0" xfId="0" applyAlignment="1" applyFont="1">
      <alignment horizontal="right" readingOrder="0"/>
    </xf>
    <xf borderId="1" fillId="2" fontId="3" numFmtId="0" xfId="0" applyAlignment="1" applyBorder="1" applyFont="1">
      <alignment horizontal="right"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right"/>
    </xf>
    <xf borderId="0" fillId="0" fontId="5" numFmtId="165" xfId="0" applyFont="1" applyNumberFormat="1"/>
    <xf borderId="0" fillId="0" fontId="1" numFmtId="166" xfId="0" applyAlignment="1" applyFont="1" applyNumberFormat="1">
      <alignment readingOrder="0"/>
    </xf>
    <xf borderId="3" fillId="5" fontId="3" numFmtId="0" xfId="0" applyAlignment="1" applyBorder="1" applyFill="1" applyFont="1">
      <alignment readingOrder="0"/>
    </xf>
    <xf borderId="4" fillId="5" fontId="3" numFmtId="0" xfId="0" applyAlignment="1" applyBorder="1" applyFont="1">
      <alignment readingOrder="0"/>
    </xf>
    <xf borderId="5" fillId="5" fontId="3" numFmtId="0" xfId="0" applyAlignment="1" applyBorder="1" applyFont="1">
      <alignment readingOrder="0"/>
    </xf>
    <xf borderId="0" fillId="0" fontId="13" numFmtId="0" xfId="0" applyAlignment="1" applyFont="1">
      <alignment readingOrder="0"/>
    </xf>
    <xf borderId="0" fillId="2" fontId="1" numFmtId="0" xfId="0" applyAlignment="1" applyFont="1">
      <alignment horizontal="right" readingOrder="0"/>
    </xf>
    <xf borderId="0" fillId="2" fontId="14" numFmtId="0" xfId="0" applyAlignment="1" applyFont="1">
      <alignment horizontal="right" readingOrder="0"/>
    </xf>
    <xf borderId="0" fillId="4" fontId="12" numFmtId="167" xfId="0" applyAlignment="1" applyFont="1" applyNumberFormat="1">
      <alignment horizontal="right" vertical="bottom"/>
    </xf>
    <xf borderId="0" fillId="2" fontId="1" numFmtId="168" xfId="0" applyAlignment="1" applyFont="1" applyNumberFormat="1">
      <alignment horizontal="right" readingOrder="0"/>
    </xf>
    <xf borderId="0" fillId="4" fontId="12" numFmtId="168" xfId="0" applyAlignment="1" applyFont="1" applyNumberFormat="1">
      <alignment horizontal="right" readingOrder="0"/>
    </xf>
    <xf borderId="0" fillId="2" fontId="1" numFmtId="0" xfId="0" applyAlignment="1" applyFont="1">
      <alignment readingOrder="0"/>
    </xf>
    <xf borderId="0" fillId="4" fontId="12" numFmtId="168" xfId="0" applyAlignment="1" applyFont="1" applyNumberFormat="1">
      <alignment horizontal="right" vertical="bottom"/>
    </xf>
    <xf borderId="0" fillId="0" fontId="15" numFmtId="0" xfId="0" applyAlignment="1" applyFont="1">
      <alignment readingOrder="0"/>
    </xf>
    <xf borderId="0" fillId="4" fontId="16" numFmtId="0" xfId="0" applyAlignment="1" applyFont="1">
      <alignment horizontal="left" readingOrder="0"/>
    </xf>
    <xf borderId="0" fillId="0" fontId="1" numFmtId="164" xfId="0" applyAlignment="1" applyFont="1" applyNumberFormat="1">
      <alignment horizontal="right" readingOrder="0"/>
    </xf>
    <xf borderId="0" fillId="0" fontId="5" numFmtId="165" xfId="0" applyAlignment="1" applyFont="1" applyNumberFormat="1">
      <alignment horizontal="right"/>
    </xf>
    <xf borderId="0" fillId="4" fontId="16" numFmtId="167" xfId="0" applyAlignment="1" applyFont="1" applyNumberFormat="1">
      <alignment horizontal="right" vertical="bottom"/>
    </xf>
    <xf borderId="0" fillId="4" fontId="16" numFmtId="168" xfId="0" applyAlignment="1" applyFont="1" applyNumberFormat="1">
      <alignment horizontal="right" readingOrder="0"/>
    </xf>
    <xf borderId="0" fillId="4" fontId="16" numFmtId="168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3105150</xdr:colOff>
      <xdr:row>45</xdr:row>
      <xdr:rowOff>28575</xdr:rowOff>
    </xdr:from>
    <xdr:ext cx="2152650" cy="4857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86</xdr:row>
      <xdr:rowOff>57150</xdr:rowOff>
    </xdr:from>
    <xdr:ext cx="2514600" cy="571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66675</xdr:colOff>
      <xdr:row>85</xdr:row>
      <xdr:rowOff>171450</xdr:rowOff>
    </xdr:from>
    <xdr:ext cx="2152650" cy="4857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inbox.io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finbox.io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finbox.com/integrations/excel" TargetMode="External"/><Relationship Id="rId2" Type="http://schemas.openxmlformats.org/officeDocument/2006/relationships/hyperlink" Target="http://finbox.io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3" width="61.13"/>
    <col customWidth="1" min="5" max="5" width="1.63"/>
  </cols>
  <sheetData>
    <row r="1" ht="10.5" customHeight="1">
      <c r="A1" s="1"/>
      <c r="B1" s="2"/>
      <c r="C1" s="1"/>
      <c r="D1" s="1"/>
      <c r="E1" s="1"/>
    </row>
    <row r="2">
      <c r="A2" s="1"/>
      <c r="B2" s="3" t="s">
        <v>0</v>
      </c>
    </row>
    <row r="3">
      <c r="A3" s="1"/>
      <c r="B3" s="4" t="s">
        <v>1</v>
      </c>
    </row>
    <row r="4">
      <c r="A4" s="1"/>
      <c r="B4" s="1"/>
      <c r="C4" s="1"/>
      <c r="D4" s="1"/>
      <c r="E4" s="1"/>
    </row>
    <row r="5">
      <c r="A5" s="1"/>
      <c r="B5" s="5" t="s">
        <v>2</v>
      </c>
      <c r="C5" s="5" t="s">
        <v>3</v>
      </c>
      <c r="D5" s="5" t="s">
        <v>4</v>
      </c>
      <c r="E5" s="1"/>
    </row>
    <row r="6">
      <c r="A6" s="1"/>
      <c r="B6" s="6" t="s">
        <v>5</v>
      </c>
      <c r="C6" s="1"/>
      <c r="D6" s="1"/>
      <c r="E6" s="1"/>
    </row>
    <row r="7">
      <c r="A7" s="1"/>
      <c r="C7" s="1"/>
      <c r="D7" s="1"/>
      <c r="E7" s="1"/>
    </row>
    <row r="8">
      <c r="A8" s="1"/>
      <c r="B8" s="7" t="s">
        <v>6</v>
      </c>
      <c r="C8" s="2" t="s">
        <v>7</v>
      </c>
      <c r="D8" s="2" t="s">
        <v>8</v>
      </c>
      <c r="E8" s="2"/>
    </row>
    <row r="9">
      <c r="A9" s="1"/>
      <c r="B9" s="7" t="s">
        <v>9</v>
      </c>
      <c r="C9" s="2" t="s">
        <v>10</v>
      </c>
      <c r="D9" s="2" t="s">
        <v>11</v>
      </c>
      <c r="E9" s="2"/>
    </row>
    <row r="10">
      <c r="A10" s="1"/>
      <c r="B10" s="7" t="s">
        <v>12</v>
      </c>
      <c r="C10" s="8" t="s">
        <v>13</v>
      </c>
      <c r="D10" s="2" t="s">
        <v>8</v>
      </c>
      <c r="E10" s="2"/>
    </row>
    <row r="11">
      <c r="A11" s="1"/>
      <c r="C11" s="1"/>
      <c r="D11" s="1"/>
      <c r="E11" s="1"/>
    </row>
    <row r="12" ht="7.5" customHeight="1">
      <c r="A12" s="1"/>
      <c r="D12" s="1"/>
      <c r="E12" s="1"/>
    </row>
    <row r="13">
      <c r="A13" s="1"/>
      <c r="B13" s="5" t="s">
        <v>14</v>
      </c>
      <c r="C13" s="5" t="s">
        <v>3</v>
      </c>
      <c r="D13" s="5" t="s">
        <v>4</v>
      </c>
      <c r="E13" s="1"/>
    </row>
    <row r="14">
      <c r="A14" s="1"/>
      <c r="B14" s="6" t="s">
        <v>15</v>
      </c>
      <c r="C14" s="1"/>
      <c r="D14" s="1"/>
      <c r="E14" s="1"/>
    </row>
    <row r="15">
      <c r="A15" s="1"/>
      <c r="C15" s="1"/>
      <c r="D15" s="1"/>
      <c r="E15" s="1"/>
    </row>
    <row r="16">
      <c r="A16" s="1"/>
      <c r="B16" s="7" t="s">
        <v>16</v>
      </c>
      <c r="C16" s="2" t="s">
        <v>17</v>
      </c>
      <c r="D16" s="2" t="s">
        <v>18</v>
      </c>
      <c r="E16" s="1"/>
    </row>
    <row r="17">
      <c r="A17" s="1"/>
      <c r="B17" s="7" t="s">
        <v>19</v>
      </c>
      <c r="C17" s="2" t="s">
        <v>20</v>
      </c>
      <c r="D17" s="2" t="s">
        <v>21</v>
      </c>
      <c r="E17" s="1"/>
    </row>
    <row r="18">
      <c r="A18" s="1"/>
      <c r="B18" s="7" t="s">
        <v>22</v>
      </c>
      <c r="C18" s="2" t="s">
        <v>23</v>
      </c>
      <c r="D18" s="2" t="s">
        <v>24</v>
      </c>
      <c r="E18" s="2"/>
    </row>
    <row r="19">
      <c r="A19" s="1"/>
      <c r="B19" s="7" t="s">
        <v>25</v>
      </c>
      <c r="C19" s="7" t="s">
        <v>26</v>
      </c>
      <c r="D19" s="2" t="s">
        <v>27</v>
      </c>
      <c r="E19" s="1"/>
    </row>
    <row r="20">
      <c r="A20" s="1"/>
      <c r="B20" s="7" t="s">
        <v>28</v>
      </c>
      <c r="C20" s="2" t="s">
        <v>29</v>
      </c>
      <c r="D20" s="2" t="s">
        <v>30</v>
      </c>
      <c r="E20" s="1"/>
    </row>
    <row r="21">
      <c r="A21" s="1"/>
      <c r="D21" s="1"/>
      <c r="E21" s="1"/>
    </row>
    <row r="22" ht="7.5" customHeight="1">
      <c r="A22" s="1"/>
      <c r="D22" s="1"/>
      <c r="E22" s="1"/>
    </row>
    <row r="23">
      <c r="A23" s="1"/>
      <c r="B23" s="5" t="s">
        <v>31</v>
      </c>
      <c r="C23" s="5" t="s">
        <v>3</v>
      </c>
      <c r="D23" s="5" t="s">
        <v>4</v>
      </c>
      <c r="E23" s="1"/>
    </row>
    <row r="24">
      <c r="A24" s="1"/>
      <c r="B24" s="6" t="s">
        <v>32</v>
      </c>
      <c r="C24" s="1"/>
      <c r="D24" s="1"/>
      <c r="E24" s="1"/>
    </row>
    <row r="25">
      <c r="A25" s="1"/>
      <c r="B25" s="1"/>
      <c r="C25" s="1"/>
      <c r="D25" s="1"/>
      <c r="E25" s="1"/>
    </row>
    <row r="26">
      <c r="A26" s="1"/>
      <c r="B26" s="7" t="s">
        <v>33</v>
      </c>
      <c r="C26" s="2" t="s">
        <v>34</v>
      </c>
      <c r="D26" s="2" t="s">
        <v>35</v>
      </c>
      <c r="E26" s="1"/>
    </row>
    <row r="27">
      <c r="A27" s="1"/>
      <c r="B27" s="7" t="s">
        <v>36</v>
      </c>
      <c r="C27" s="2" t="s">
        <v>37</v>
      </c>
      <c r="D27" s="2" t="s">
        <v>38</v>
      </c>
      <c r="E27" s="1"/>
    </row>
    <row r="28">
      <c r="A28" s="1"/>
      <c r="B28" s="7" t="s">
        <v>39</v>
      </c>
      <c r="C28" s="2" t="s">
        <v>40</v>
      </c>
      <c r="D28" s="2" t="s">
        <v>41</v>
      </c>
      <c r="E28" s="1"/>
    </row>
    <row r="29">
      <c r="A29" s="1"/>
      <c r="C29" s="1"/>
      <c r="D29" s="1"/>
      <c r="E29" s="1"/>
    </row>
    <row r="30" ht="7.5" customHeight="1">
      <c r="A30" s="1"/>
      <c r="D30" s="1"/>
      <c r="E30" s="1"/>
    </row>
    <row r="31">
      <c r="A31" s="1"/>
      <c r="B31" s="5" t="s">
        <v>42</v>
      </c>
      <c r="C31" s="5" t="s">
        <v>3</v>
      </c>
      <c r="D31" s="5" t="s">
        <v>4</v>
      </c>
      <c r="E31" s="1"/>
    </row>
    <row r="32">
      <c r="A32" s="1"/>
      <c r="B32" s="6" t="s">
        <v>43</v>
      </c>
      <c r="C32" s="1"/>
      <c r="D32" s="1"/>
      <c r="E32" s="1"/>
    </row>
    <row r="33">
      <c r="A33" s="1"/>
      <c r="B33" s="1"/>
      <c r="C33" s="1"/>
      <c r="D33" s="1"/>
      <c r="E33" s="1"/>
    </row>
    <row r="34">
      <c r="A34" s="1"/>
      <c r="B34" s="7" t="s">
        <v>44</v>
      </c>
      <c r="C34" s="2" t="s">
        <v>45</v>
      </c>
      <c r="D34" s="2" t="s">
        <v>38</v>
      </c>
      <c r="E34" s="1"/>
    </row>
    <row r="35">
      <c r="A35" s="1"/>
      <c r="B35" s="2" t="s">
        <v>46</v>
      </c>
      <c r="C35" s="2" t="s">
        <v>47</v>
      </c>
      <c r="D35" s="2" t="s">
        <v>48</v>
      </c>
      <c r="E35" s="1"/>
    </row>
    <row r="36">
      <c r="A36" s="1"/>
      <c r="B36" s="2" t="s">
        <v>49</v>
      </c>
      <c r="C36" s="2" t="s">
        <v>50</v>
      </c>
      <c r="D36" s="2" t="s">
        <v>51</v>
      </c>
      <c r="E36" s="1"/>
    </row>
    <row r="37">
      <c r="A37" s="1"/>
      <c r="B37" s="2" t="s">
        <v>52</v>
      </c>
      <c r="C37" s="2" t="s">
        <v>53</v>
      </c>
      <c r="D37" s="2" t="s">
        <v>54</v>
      </c>
      <c r="E37" s="1"/>
    </row>
    <row r="38">
      <c r="A38" s="1"/>
      <c r="B38" s="1"/>
      <c r="C38" s="1"/>
      <c r="D38" s="1"/>
      <c r="E38" s="1"/>
    </row>
    <row r="39" ht="7.5" customHeight="1">
      <c r="A39" s="1"/>
      <c r="D39" s="1"/>
      <c r="E39" s="1"/>
    </row>
    <row r="40">
      <c r="A40" s="1"/>
      <c r="B40" s="5" t="s">
        <v>55</v>
      </c>
      <c r="C40" s="5" t="s">
        <v>3</v>
      </c>
      <c r="D40" s="1"/>
      <c r="E40" s="1"/>
    </row>
    <row r="41">
      <c r="A41" s="1"/>
      <c r="B41" s="2" t="s">
        <v>56</v>
      </c>
      <c r="C41" s="2" t="s">
        <v>57</v>
      </c>
      <c r="D41" s="2" t="s">
        <v>54</v>
      </c>
      <c r="E41" s="1"/>
    </row>
    <row r="42">
      <c r="A42" s="1"/>
      <c r="B42" s="2" t="s">
        <v>58</v>
      </c>
      <c r="C42" s="2" t="s">
        <v>59</v>
      </c>
      <c r="D42" s="2" t="s">
        <v>54</v>
      </c>
      <c r="E42" s="1"/>
    </row>
    <row r="43">
      <c r="A43" s="1"/>
      <c r="B43" s="2" t="s">
        <v>60</v>
      </c>
      <c r="C43" s="2" t="s">
        <v>61</v>
      </c>
      <c r="D43" s="2" t="s">
        <v>62</v>
      </c>
      <c r="E43" s="1"/>
    </row>
    <row r="44">
      <c r="A44" s="1"/>
      <c r="C44" s="1"/>
      <c r="D44" s="1"/>
      <c r="E44" s="1"/>
    </row>
    <row r="45">
      <c r="A45" s="1"/>
      <c r="B45" s="1"/>
      <c r="C45" s="1"/>
      <c r="D45" s="1"/>
      <c r="E45" s="1"/>
    </row>
    <row r="46">
      <c r="A46" s="1"/>
      <c r="B46" s="9" t="s">
        <v>63</v>
      </c>
      <c r="C46" s="1"/>
      <c r="D46" s="1"/>
      <c r="E46" s="1"/>
    </row>
    <row r="47">
      <c r="A47" s="1"/>
      <c r="B47" s="10" t="s">
        <v>64</v>
      </c>
      <c r="C47" s="1"/>
      <c r="D47" s="1"/>
      <c r="E47" s="1"/>
    </row>
    <row r="48">
      <c r="A48" s="1"/>
      <c r="B48" s="1"/>
      <c r="C48" s="1"/>
      <c r="D48" s="1"/>
      <c r="E48" s="1"/>
    </row>
  </sheetData>
  <mergeCells count="2">
    <mergeCell ref="B2:E2"/>
    <mergeCell ref="B3:E3"/>
  </mergeCells>
  <hyperlinks>
    <hyperlink r:id="rId1" ref="B47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4" width="18.25"/>
    <col customWidth="1" min="5" max="5" width="4.63"/>
    <col customWidth="1" min="6" max="6" width="3.13"/>
    <col customWidth="1" min="7" max="7" width="59.5"/>
    <col customWidth="1" min="8" max="8" width="1.88"/>
  </cols>
  <sheetData>
    <row r="1" ht="10.5" customHeight="1">
      <c r="A1" s="1"/>
      <c r="B1" s="2"/>
      <c r="C1" s="1"/>
      <c r="D1" s="1"/>
      <c r="E1" s="1"/>
      <c r="F1" s="1"/>
      <c r="G1" s="1"/>
      <c r="H1" s="1"/>
    </row>
    <row r="2">
      <c r="A2" s="1"/>
      <c r="B2" s="11" t="s">
        <v>65</v>
      </c>
      <c r="C2" s="12"/>
      <c r="D2" s="12"/>
      <c r="E2" s="12"/>
      <c r="F2" s="1"/>
      <c r="G2" s="1"/>
      <c r="H2" s="1"/>
    </row>
    <row r="3">
      <c r="A3" s="1"/>
      <c r="B3" s="13" t="s">
        <v>1</v>
      </c>
      <c r="C3" s="12"/>
      <c r="D3" s="12"/>
      <c r="E3" s="12"/>
      <c r="F3" s="1"/>
      <c r="G3" s="14" t="s">
        <v>66</v>
      </c>
      <c r="H3" s="1"/>
    </row>
    <row r="4">
      <c r="A4" s="1"/>
      <c r="B4" s="1"/>
      <c r="C4" s="1"/>
      <c r="D4" s="1"/>
      <c r="E4" s="1"/>
      <c r="F4" s="15" t="s">
        <v>67</v>
      </c>
      <c r="G4" s="2" t="s">
        <v>68</v>
      </c>
      <c r="H4" s="1"/>
    </row>
    <row r="5">
      <c r="A5" s="1"/>
      <c r="B5" s="16" t="s">
        <v>69</v>
      </c>
      <c r="C5" s="17" t="s">
        <v>70</v>
      </c>
      <c r="D5" s="18"/>
      <c r="E5" s="1"/>
      <c r="G5" s="7" t="s">
        <v>71</v>
      </c>
      <c r="H5" s="1"/>
    </row>
    <row r="6">
      <c r="A6" s="1"/>
      <c r="B6" s="16" t="s">
        <v>72</v>
      </c>
      <c r="C6" s="19" t="s">
        <v>73</v>
      </c>
      <c r="D6" s="18"/>
      <c r="E6" s="1"/>
      <c r="F6" s="15" t="s">
        <v>74</v>
      </c>
      <c r="G6" s="2" t="s">
        <v>75</v>
      </c>
      <c r="H6" s="1"/>
    </row>
    <row r="7">
      <c r="A7" s="1"/>
      <c r="B7" s="16" t="s">
        <v>76</v>
      </c>
      <c r="C7" s="19" t="s">
        <v>77</v>
      </c>
      <c r="D7" s="18"/>
      <c r="E7" s="1"/>
      <c r="H7" s="1"/>
    </row>
    <row r="8">
      <c r="A8" s="1"/>
      <c r="C8" s="18"/>
      <c r="D8" s="18"/>
      <c r="E8" s="1"/>
      <c r="F8" s="15"/>
      <c r="G8" s="2"/>
      <c r="H8" s="1"/>
    </row>
    <row r="9">
      <c r="A9" s="1"/>
      <c r="B9" s="18"/>
      <c r="C9" s="18"/>
      <c r="D9" s="18"/>
      <c r="E9" s="1"/>
      <c r="F9" s="1"/>
      <c r="G9" s="1"/>
      <c r="H9" s="1"/>
    </row>
    <row r="10">
      <c r="A10" s="1"/>
      <c r="B10" s="18"/>
      <c r="C10" s="20"/>
      <c r="D10" s="20"/>
      <c r="E10" s="18"/>
      <c r="F10" s="18"/>
      <c r="G10" s="1"/>
      <c r="H10" s="1"/>
    </row>
    <row r="11">
      <c r="A11" s="1"/>
      <c r="B11" s="5" t="s">
        <v>2</v>
      </c>
      <c r="C11" s="21" t="s">
        <v>3</v>
      </c>
      <c r="D11" s="21" t="s">
        <v>78</v>
      </c>
      <c r="E11" s="5"/>
      <c r="F11" s="5" t="s">
        <v>79</v>
      </c>
      <c r="G11" s="1"/>
      <c r="H11" s="1"/>
    </row>
    <row r="12">
      <c r="A12" s="1"/>
      <c r="B12" s="6" t="s">
        <v>5</v>
      </c>
      <c r="C12" s="1"/>
      <c r="D12" s="1"/>
      <c r="E12" s="1"/>
      <c r="F12" s="1"/>
      <c r="G12" s="1"/>
      <c r="H12" s="1"/>
    </row>
    <row r="13">
      <c r="A13" s="1"/>
      <c r="C13" s="1"/>
      <c r="D13" s="1"/>
      <c r="E13" s="1"/>
      <c r="F13" s="1"/>
      <c r="G13" s="1"/>
      <c r="H13" s="1"/>
    </row>
    <row r="14">
      <c r="A14" s="1"/>
      <c r="B14" s="7" t="str">
        <f>'Cheat Sheet'!B8</f>
        <v>EBIT Interest Coverage</v>
      </c>
      <c r="C14" s="22">
        <f>C60/C62</f>
        <v>9.010550996</v>
      </c>
      <c r="D14" s="23" t="str">
        <f>IF(AND(ISNUMBER(C14),C14&gt;3),"Good","Bad")</f>
        <v>Good</v>
      </c>
      <c r="E14" s="1"/>
      <c r="F14" s="2" t="str">
        <f>'Cheat Sheet'!C8</f>
        <v>Earnings Before Interest &amp; Taxes / Interest Expense</v>
      </c>
      <c r="G14" s="2"/>
      <c r="H14" s="1"/>
    </row>
    <row r="15">
      <c r="A15" s="1"/>
      <c r="B15" s="7" t="str">
        <f>'Cheat Sheet'!B9</f>
        <v>EBITDA Interest Coverage</v>
      </c>
      <c r="C15" s="22">
        <f>C61/C62</f>
        <v>10.78429074</v>
      </c>
      <c r="D15" s="23" t="str">
        <f>IF(AND(ISNUMBER(C15),C15&gt;4),"Good","Bad")</f>
        <v>Good</v>
      </c>
      <c r="E15" s="1"/>
      <c r="F15" s="2" t="str">
        <f>'Cheat Sheet'!C9</f>
        <v>Earnings Before Interest, Taxes, Depreciation &amp; Amortization / Interest Expense</v>
      </c>
      <c r="G15" s="2"/>
      <c r="H15" s="1"/>
    </row>
    <row r="16">
      <c r="A16" s="1"/>
      <c r="B16" s="7" t="str">
        <f>'Cheat Sheet'!B10</f>
        <v>EBITDA less CapEx Interest Coverage</v>
      </c>
      <c r="C16" s="22">
        <f>(C61-AVERAGE(C65:D65))/C62</f>
        <v>8.270222743</v>
      </c>
      <c r="D16" s="23" t="str">
        <f>IF(AND(ISNUMBER(C16),C16&gt;3),"Good","Bad")</f>
        <v>Good</v>
      </c>
      <c r="E16" s="1"/>
      <c r="F16" s="2" t="str">
        <f>'Cheat Sheet'!C10</f>
        <v>(EBITDA - 2 Year Average Capital Expenditures) / Interest Expense</v>
      </c>
      <c r="G16" s="2"/>
      <c r="H16" s="1"/>
    </row>
    <row r="17">
      <c r="A17" s="1"/>
      <c r="C17" s="1"/>
      <c r="D17" s="1"/>
      <c r="E17" s="1"/>
      <c r="F17" s="1"/>
      <c r="G17" s="1"/>
      <c r="H17" s="1"/>
    </row>
    <row r="18" ht="7.5" customHeight="1">
      <c r="A18" s="1"/>
      <c r="D18" s="1"/>
      <c r="E18" s="1"/>
      <c r="F18" s="1"/>
      <c r="G18" s="1"/>
      <c r="H18" s="1"/>
    </row>
    <row r="19">
      <c r="A19" s="1"/>
      <c r="B19" s="5" t="s">
        <v>14</v>
      </c>
      <c r="C19" s="21" t="s">
        <v>3</v>
      </c>
      <c r="D19" s="21" t="s">
        <v>78</v>
      </c>
      <c r="E19" s="5"/>
      <c r="F19" s="5" t="s">
        <v>79</v>
      </c>
      <c r="G19" s="1"/>
      <c r="H19" s="1"/>
    </row>
    <row r="20">
      <c r="A20" s="1"/>
      <c r="B20" s="6" t="s">
        <v>15</v>
      </c>
      <c r="C20" s="1"/>
      <c r="D20" s="1"/>
      <c r="E20" s="1"/>
      <c r="F20" s="1"/>
      <c r="G20" s="1"/>
      <c r="H20" s="1"/>
    </row>
    <row r="21">
      <c r="A21" s="1"/>
      <c r="C21" s="1"/>
      <c r="D21" s="1"/>
      <c r="E21" s="1"/>
      <c r="F21" s="1"/>
      <c r="G21" s="1"/>
      <c r="H21" s="1"/>
    </row>
    <row r="22">
      <c r="A22" s="1"/>
      <c r="B22" s="7" t="str">
        <f>'Cheat Sheet'!B16</f>
        <v>Debt to Equity</v>
      </c>
      <c r="C22" s="24">
        <f>(C78+C79)/(C82)</f>
        <v>1.597310879</v>
      </c>
      <c r="D22" s="23" t="str">
        <f>IF(AND(C22&lt;0.75,C22&gt;0),"Good","Bad")</f>
        <v>Bad</v>
      </c>
      <c r="E22" s="1"/>
      <c r="F22" s="2" t="str">
        <f>'Cheat Sheet'!C16</f>
        <v>(Current Debt + Long Term Debt) / Common Equity</v>
      </c>
      <c r="G22" s="2"/>
      <c r="H22" s="1"/>
    </row>
    <row r="23">
      <c r="A23" s="1"/>
      <c r="B23" s="7" t="str">
        <f>'Cheat Sheet'!B17</f>
        <v>Debt to Tangible Equity</v>
      </c>
      <c r="C23" s="24">
        <f>(C78+C79)/(C82-C74)</f>
        <v>7.205023484</v>
      </c>
      <c r="D23" s="23" t="str">
        <f>IF(AND(C23&lt;1,C23&gt;0),"Good","Bad")</f>
        <v>Bad</v>
      </c>
      <c r="E23" s="1"/>
      <c r="F23" s="2" t="str">
        <f>'Cheat Sheet'!C17</f>
        <v>(Current Debt + Long Term Debt) / (Common Equity - Intangible Assets)</v>
      </c>
      <c r="G23" s="2"/>
      <c r="H23" s="1"/>
    </row>
    <row r="24">
      <c r="A24" s="1"/>
      <c r="B24" s="7" t="str">
        <f>'Cheat Sheet'!B18</f>
        <v>Debt To Total Capital</v>
      </c>
      <c r="C24" s="24">
        <f>(C78+C79)/(C78+C79+C84)</f>
        <v>0.1520548344</v>
      </c>
      <c r="D24" s="23" t="str">
        <f>IF(C24&lt;0.3,"Good","Bad")</f>
        <v>Good</v>
      </c>
      <c r="E24" s="1"/>
      <c r="F24" s="2" t="str">
        <f>'Cheat Sheet'!C18</f>
        <v>(Current Debt + Long Term Debt) / (Total Debt + Market Capitalization)</v>
      </c>
      <c r="G24" s="2"/>
      <c r="H24" s="1"/>
    </row>
    <row r="25">
      <c r="A25" s="1"/>
      <c r="B25" s="7" t="str">
        <f>'Cheat Sheet'!B19</f>
        <v>Cash Flow to Total Debt</v>
      </c>
      <c r="C25" s="24">
        <f>C66/(C78+C79)</f>
        <v>0.237139699</v>
      </c>
      <c r="D25" s="23" t="str">
        <f>IF(C25&gt;0.1,"Good","Bad")</f>
        <v>Good</v>
      </c>
      <c r="E25" s="1"/>
      <c r="F25" s="2" t="str">
        <f>'Cheat Sheet'!C19</f>
        <v>Cash Flow from Operations / Total Debt</v>
      </c>
      <c r="G25" s="2"/>
      <c r="H25" s="1"/>
    </row>
    <row r="26">
      <c r="A26" s="1"/>
      <c r="B26" s="7" t="str">
        <f>'Cheat Sheet'!B20</f>
        <v>Liabilities to Assets</v>
      </c>
      <c r="C26" s="24">
        <f>C81/C76</f>
        <v>0.7576525574</v>
      </c>
      <c r="D26" s="23" t="str">
        <f>IF(C26&lt;0.5,"Good","Bad")</f>
        <v>Bad</v>
      </c>
      <c r="E26" s="1"/>
      <c r="F26" s="2" t="str">
        <f>'Cheat Sheet'!C20</f>
        <v>Total Liabilities / Total Assets</v>
      </c>
      <c r="G26" s="2"/>
      <c r="H26" s="1"/>
    </row>
    <row r="27">
      <c r="A27" s="1"/>
      <c r="D27" s="1"/>
      <c r="E27" s="1"/>
      <c r="F27" s="1"/>
      <c r="G27" s="1"/>
      <c r="H27" s="1"/>
    </row>
    <row r="28" ht="7.5" customHeight="1">
      <c r="A28" s="1"/>
      <c r="D28" s="1"/>
      <c r="E28" s="1"/>
      <c r="F28" s="1"/>
      <c r="G28" s="1"/>
      <c r="H28" s="1"/>
    </row>
    <row r="29">
      <c r="A29" s="1"/>
      <c r="B29" s="5" t="s">
        <v>31</v>
      </c>
      <c r="C29" s="21" t="s">
        <v>3</v>
      </c>
      <c r="D29" s="21" t="s">
        <v>78</v>
      </c>
      <c r="E29" s="5"/>
      <c r="F29" s="5" t="s">
        <v>79</v>
      </c>
      <c r="G29" s="1"/>
      <c r="H29" s="1"/>
    </row>
    <row r="30">
      <c r="A30" s="1"/>
      <c r="B30" s="6" t="s">
        <v>32</v>
      </c>
      <c r="C30" s="1"/>
      <c r="D30" s="1"/>
      <c r="E30" s="1"/>
      <c r="F30" s="1"/>
      <c r="G30" s="1"/>
      <c r="H30" s="1"/>
    </row>
    <row r="31">
      <c r="A31" s="1"/>
      <c r="B31" s="1"/>
      <c r="C31" s="1"/>
      <c r="D31" s="1"/>
      <c r="E31" s="1"/>
      <c r="F31" s="1"/>
      <c r="G31" s="1"/>
      <c r="H31" s="1"/>
    </row>
    <row r="32">
      <c r="A32" s="1"/>
      <c r="B32" s="7" t="str">
        <f>'Cheat Sheet'!B26</f>
        <v>Cash Ratio</v>
      </c>
      <c r="C32" s="22">
        <f>(C69+C70)/C80</f>
        <v>0.9442941381</v>
      </c>
      <c r="D32" s="23" t="str">
        <f>IF(C32&gt;0.75,"Good","Bad")</f>
        <v>Good</v>
      </c>
      <c r="E32" s="1"/>
      <c r="F32" s="2" t="str">
        <f>'Cheat Sheet'!C26</f>
        <v>(Cash &amp; Short Term Investments) / Current Liabilities</v>
      </c>
      <c r="G32" s="2"/>
      <c r="H32" s="1"/>
    </row>
    <row r="33">
      <c r="A33" s="1"/>
      <c r="B33" s="7" t="str">
        <f>'Cheat Sheet'!B27</f>
        <v>Quick Ratio</v>
      </c>
      <c r="C33" s="22">
        <f>(C69+C70+C71)/C80</f>
        <v>1.083870968</v>
      </c>
      <c r="D33" s="23" t="str">
        <f>IF(C33&gt;1,"Good","Bad")</f>
        <v>Good</v>
      </c>
      <c r="E33" s="1"/>
      <c r="F33" s="2" t="str">
        <f>'Cheat Sheet'!C27</f>
        <v>(Cash &amp; Short Term Investments + Receivables) / Current Liabilities</v>
      </c>
      <c r="G33" s="2"/>
      <c r="H33" s="1"/>
    </row>
    <row r="34">
      <c r="A34" s="1"/>
      <c r="B34" s="7" t="str">
        <f>'Cheat Sheet'!B28</f>
        <v>Current Ratio</v>
      </c>
      <c r="C34" s="22">
        <f>C75/C80</f>
        <v>1.351404787</v>
      </c>
      <c r="D34" s="23" t="str">
        <f>IF(C34&gt;1.5,"Good","Bad")</f>
        <v>Bad</v>
      </c>
      <c r="E34" s="1"/>
      <c r="F34" s="2" t="str">
        <f>'Cheat Sheet'!C28</f>
        <v>Current Assets / Current Liabilities</v>
      </c>
      <c r="G34" s="2"/>
      <c r="H34" s="1"/>
    </row>
    <row r="35">
      <c r="A35" s="1"/>
      <c r="C35" s="1"/>
      <c r="D35" s="1"/>
      <c r="E35" s="1"/>
      <c r="F35" s="1"/>
      <c r="G35" s="1"/>
      <c r="H35" s="1"/>
    </row>
    <row r="36" ht="7.5" customHeight="1">
      <c r="A36" s="1"/>
      <c r="D36" s="1"/>
      <c r="E36" s="1"/>
      <c r="F36" s="1"/>
      <c r="G36" s="1"/>
      <c r="H36" s="1"/>
    </row>
    <row r="37">
      <c r="A37" s="1"/>
      <c r="B37" s="5" t="s">
        <v>42</v>
      </c>
      <c r="C37" s="21" t="s">
        <v>3</v>
      </c>
      <c r="D37" s="21" t="s">
        <v>78</v>
      </c>
      <c r="E37" s="5"/>
      <c r="F37" s="5" t="s">
        <v>79</v>
      </c>
      <c r="G37" s="1"/>
      <c r="H37" s="1"/>
    </row>
    <row r="38">
      <c r="A38" s="1"/>
      <c r="B38" s="6" t="s">
        <v>43</v>
      </c>
      <c r="C38" s="1"/>
      <c r="D38" s="1"/>
      <c r="E38" s="1"/>
      <c r="F38" s="1"/>
      <c r="G38" s="1"/>
      <c r="H38" s="1"/>
    </row>
    <row r="39">
      <c r="A39" s="1"/>
      <c r="B39" s="1"/>
      <c r="C39" s="1"/>
      <c r="D39" s="1"/>
      <c r="E39" s="1"/>
      <c r="F39" s="1"/>
      <c r="G39" s="1"/>
      <c r="H39" s="1"/>
    </row>
    <row r="40">
      <c r="A40" s="1"/>
      <c r="B40" s="7" t="str">
        <f>'Cheat Sheet'!B34</f>
        <v>Asset Turnover</v>
      </c>
      <c r="C40" s="22">
        <f>C58/AVERAGE(C76,D76)</f>
        <v>0.4195854027</v>
      </c>
      <c r="D40" s="23" t="str">
        <f>IF(C40&gt;1,"Good","Bad")</f>
        <v>Bad</v>
      </c>
      <c r="E40" s="1"/>
      <c r="F40" s="2" t="str">
        <f>'Cheat Sheet'!C34</f>
        <v>Sales / Average Total Assets</v>
      </c>
      <c r="G40" s="2"/>
      <c r="H40" s="1"/>
    </row>
    <row r="41">
      <c r="A41" s="1"/>
      <c r="B41" s="7" t="str">
        <f>'Cheat Sheet'!B35</f>
        <v>Fixed Asset Turnover</v>
      </c>
      <c r="C41" s="22">
        <f t="shared" ref="C41:C42" si="1">C58/AVERAGE(C72,D72)</f>
        <v>3.643027888</v>
      </c>
      <c r="D41" s="23" t="str">
        <f>IF(C41&gt;2,"Good","Bad")</f>
        <v>Good</v>
      </c>
      <c r="E41" s="1"/>
      <c r="F41" s="2" t="str">
        <f>'Cheat Sheet'!C35</f>
        <v>Sales / Average Net Property, Plant, and Equipment</v>
      </c>
      <c r="G41" s="2"/>
      <c r="H41" s="1"/>
    </row>
    <row r="42">
      <c r="A42" s="1"/>
      <c r="B42" s="7" t="str">
        <f>'Cheat Sheet'!B36</f>
        <v>Inventory Turnover</v>
      </c>
      <c r="C42" s="22">
        <f t="shared" si="1"/>
        <v>5.210353753</v>
      </c>
      <c r="D42" s="23" t="str">
        <f>IF(C42&gt;8,"Good","Bad")</f>
        <v>Bad</v>
      </c>
      <c r="E42" s="1"/>
      <c r="F42" s="2" t="str">
        <f>'Cheat Sheet'!C36</f>
        <v>COGS / Average Inventory</v>
      </c>
      <c r="G42" s="2"/>
      <c r="H42" s="1"/>
    </row>
    <row r="43">
      <c r="A43" s="1"/>
      <c r="B43" s="7" t="str">
        <f>'Cheat Sheet'!B37</f>
        <v>Cash Conversion Cycle</v>
      </c>
      <c r="C43" s="25">
        <f>C47+C48-C49</f>
        <v>-137.6578348</v>
      </c>
      <c r="D43" s="23" t="str">
        <f>IF(C43&lt;45,"Good","Bad")</f>
        <v>Good</v>
      </c>
      <c r="E43" s="1"/>
      <c r="F43" s="2" t="str">
        <f>'Cheat Sheet'!C37</f>
        <v>Days Sales Outstanding + Days Inventory Outstanding - Days Payable Outstanding</v>
      </c>
      <c r="G43" s="2"/>
      <c r="H43" s="1"/>
    </row>
    <row r="44">
      <c r="A44" s="1"/>
      <c r="B44" s="1"/>
      <c r="C44" s="1"/>
      <c r="D44" s="1"/>
      <c r="E44" s="1"/>
      <c r="F44" s="1"/>
      <c r="G44" s="1"/>
      <c r="H44" s="1"/>
    </row>
    <row r="45" ht="7.5" customHeight="1">
      <c r="A45" s="1"/>
      <c r="D45" s="1"/>
      <c r="E45" s="1"/>
      <c r="F45" s="1"/>
      <c r="G45" s="1"/>
      <c r="H45" s="1"/>
    </row>
    <row r="46">
      <c r="A46" s="1"/>
      <c r="B46" s="5" t="s">
        <v>80</v>
      </c>
      <c r="C46" s="21" t="s">
        <v>3</v>
      </c>
      <c r="D46" s="5"/>
      <c r="E46" s="5"/>
      <c r="F46" s="5" t="s">
        <v>79</v>
      </c>
      <c r="G46" s="1"/>
      <c r="H46" s="1"/>
    </row>
    <row r="47">
      <c r="A47" s="1"/>
      <c r="B47" s="7" t="str">
        <f>'Cheat Sheet'!B41</f>
        <v>Days Sales Outstanding</v>
      </c>
      <c r="C47" s="25">
        <f>AVERAGE(C71,D71)/C58*365</f>
        <v>41.28814781</v>
      </c>
      <c r="D47" s="23" t="str">
        <f t="shared" ref="D47:D48" si="2">IF(C47&lt;45,"Good","Bad")</f>
        <v>Good</v>
      </c>
      <c r="E47" s="1"/>
      <c r="F47" s="2" t="str">
        <f>'Cheat Sheet'!C41</f>
        <v>(Average Accounts Receivable / Sales) x 365</v>
      </c>
      <c r="G47" s="2"/>
      <c r="H47" s="1"/>
    </row>
    <row r="48">
      <c r="A48" s="1"/>
      <c r="B48" s="7" t="str">
        <f>'Cheat Sheet'!B42</f>
        <v>Days Inventory Outstanding</v>
      </c>
      <c r="C48" s="25">
        <f>AVERAGE(C73,D73)/C59*365</f>
        <v>70.05282506</v>
      </c>
      <c r="D48" s="23" t="str">
        <f t="shared" si="2"/>
        <v>Bad</v>
      </c>
      <c r="E48" s="1"/>
      <c r="F48" s="2" t="str">
        <f>'Cheat Sheet'!C42</f>
        <v>(Average Inventory / Cost of Sales) x 365</v>
      </c>
      <c r="G48" s="2"/>
      <c r="H48" s="1"/>
    </row>
    <row r="49">
      <c r="A49" s="1"/>
      <c r="B49" s="7" t="str">
        <f>'Cheat Sheet'!B43</f>
        <v>Days Payable Outstanding</v>
      </c>
      <c r="C49" s="25">
        <f>AVERAGE(C77,D77)/C59*365</f>
        <v>248.9988077</v>
      </c>
      <c r="D49" s="23" t="str">
        <f>IF(C49&gt;45,"Good","Bad")</f>
        <v>Good</v>
      </c>
      <c r="E49" s="1"/>
      <c r="F49" s="2" t="str">
        <f>'Cheat Sheet'!C43</f>
        <v>(Average Accounts Payable / Cost of Sales) x 365</v>
      </c>
      <c r="G49" s="2"/>
      <c r="H49" s="1"/>
    </row>
    <row r="50">
      <c r="A50" s="1"/>
      <c r="C50" s="1"/>
      <c r="D50" s="1"/>
      <c r="E50" s="1"/>
      <c r="F50" s="1"/>
      <c r="G50" s="1"/>
      <c r="H50" s="1"/>
    </row>
    <row r="51">
      <c r="A51" s="1"/>
      <c r="B51" s="1"/>
      <c r="C51" s="1"/>
      <c r="D51" s="1"/>
      <c r="E51" s="1"/>
      <c r="F51" s="1"/>
      <c r="G51" s="1"/>
      <c r="H51" s="1"/>
    </row>
    <row r="52">
      <c r="A52" s="1"/>
      <c r="B52" s="26" t="s">
        <v>81</v>
      </c>
      <c r="C52" s="27"/>
      <c r="D52" s="28"/>
      <c r="E52" s="1"/>
      <c r="F52" s="1"/>
      <c r="G52" s="1"/>
      <c r="H52" s="1"/>
    </row>
    <row r="53">
      <c r="A53" s="1"/>
      <c r="B53" s="29"/>
      <c r="C53" s="30"/>
      <c r="D53" s="30"/>
      <c r="E53" s="1"/>
      <c r="F53" s="1"/>
      <c r="G53" s="1"/>
      <c r="H53" s="1"/>
    </row>
    <row r="54">
      <c r="A54" s="1"/>
      <c r="C54" s="31" t="s">
        <v>82</v>
      </c>
      <c r="D54" s="31" t="s">
        <v>83</v>
      </c>
      <c r="E54" s="1"/>
      <c r="F54" s="1"/>
      <c r="H54" s="1"/>
    </row>
    <row r="55">
      <c r="A55" s="1"/>
      <c r="B55" s="7" t="s">
        <v>84</v>
      </c>
      <c r="C55" s="32">
        <v>42916.0</v>
      </c>
      <c r="D55" s="32">
        <v>42551.0</v>
      </c>
      <c r="E55" s="1"/>
      <c r="F55" s="1"/>
      <c r="G55" s="1"/>
      <c r="H55" s="1"/>
    </row>
    <row r="56">
      <c r="A56" s="1"/>
      <c r="B56" s="29"/>
      <c r="C56" s="33"/>
      <c r="D56" s="33"/>
      <c r="E56" s="1"/>
      <c r="F56" s="1"/>
      <c r="G56" s="1"/>
      <c r="H56" s="1"/>
    </row>
    <row r="57">
      <c r="A57" s="1"/>
      <c r="B57" s="29" t="s">
        <v>85</v>
      </c>
      <c r="C57" s="33"/>
      <c r="D57" s="33"/>
      <c r="E57" s="1"/>
      <c r="F57" s="1"/>
      <c r="G57" s="1"/>
      <c r="H57" s="1"/>
    </row>
    <row r="58">
      <c r="A58" s="1"/>
      <c r="B58" s="7" t="s">
        <v>86</v>
      </c>
      <c r="C58" s="34">
        <v>38862.0</v>
      </c>
      <c r="D58" s="34"/>
      <c r="E58" s="1"/>
      <c r="F58" s="1"/>
      <c r="G58" s="1"/>
      <c r="H58" s="1"/>
    </row>
    <row r="59">
      <c r="A59" s="1"/>
      <c r="B59" s="35" t="s">
        <v>87</v>
      </c>
      <c r="C59" s="34">
        <v>15097.0</v>
      </c>
      <c r="D59" s="34"/>
      <c r="E59" s="1"/>
      <c r="F59" s="1"/>
      <c r="G59" s="1"/>
      <c r="H59" s="1"/>
    </row>
    <row r="60">
      <c r="A60" s="1"/>
      <c r="B60" s="35" t="s">
        <v>88</v>
      </c>
      <c r="C60" s="34">
        <v>7686.0</v>
      </c>
      <c r="D60" s="34"/>
      <c r="E60" s="1"/>
      <c r="F60" s="1"/>
      <c r="G60" s="1"/>
      <c r="H60" s="1"/>
    </row>
    <row r="61">
      <c r="A61" s="1"/>
      <c r="B61" s="7" t="s">
        <v>89</v>
      </c>
      <c r="C61" s="34">
        <v>9199.0</v>
      </c>
      <c r="D61" s="34"/>
      <c r="E61" s="1"/>
      <c r="F61" s="1"/>
      <c r="G61" s="1"/>
      <c r="H61" s="1"/>
    </row>
    <row r="62">
      <c r="A62" s="1"/>
      <c r="B62" s="35" t="s">
        <v>90</v>
      </c>
      <c r="C62" s="34">
        <v>853.0</v>
      </c>
      <c r="D62" s="34"/>
      <c r="E62" s="1"/>
      <c r="F62" s="1"/>
      <c r="G62" s="1"/>
      <c r="H62" s="1"/>
    </row>
    <row r="63">
      <c r="A63" s="1"/>
      <c r="B63" s="18"/>
      <c r="C63" s="18"/>
      <c r="D63" s="18"/>
      <c r="E63" s="1"/>
      <c r="F63" s="1"/>
      <c r="G63" s="1"/>
      <c r="H63" s="1"/>
    </row>
    <row r="64">
      <c r="A64" s="1"/>
      <c r="B64" s="29" t="s">
        <v>91</v>
      </c>
      <c r="E64" s="1"/>
      <c r="F64" s="1"/>
      <c r="G64" s="1"/>
      <c r="H64" s="1"/>
    </row>
    <row r="65">
      <c r="A65" s="1"/>
      <c r="B65" s="35" t="s">
        <v>92</v>
      </c>
      <c r="C65" s="34">
        <v>1858.0</v>
      </c>
      <c r="D65" s="34">
        <v>2431.0</v>
      </c>
      <c r="E65" s="1"/>
      <c r="F65" s="1"/>
      <c r="G65" s="1"/>
      <c r="H65" s="1"/>
    </row>
    <row r="66">
      <c r="A66" s="1"/>
      <c r="B66" s="35" t="s">
        <v>93</v>
      </c>
      <c r="C66" s="34">
        <v>8367.0</v>
      </c>
      <c r="D66" s="34"/>
      <c r="E66" s="1"/>
      <c r="F66" s="1"/>
      <c r="G66" s="1"/>
      <c r="H66" s="1"/>
    </row>
    <row r="67">
      <c r="A67" s="1"/>
      <c r="B67" s="18"/>
      <c r="C67" s="18"/>
      <c r="D67" s="18"/>
      <c r="E67" s="1"/>
      <c r="F67" s="1"/>
      <c r="G67" s="1"/>
      <c r="H67" s="1"/>
    </row>
    <row r="68">
      <c r="A68" s="1"/>
      <c r="B68" s="29" t="s">
        <v>94</v>
      </c>
      <c r="C68" s="18"/>
      <c r="D68" s="18"/>
      <c r="E68" s="1"/>
      <c r="F68" s="1"/>
      <c r="G68" s="1"/>
      <c r="H68" s="1"/>
    </row>
    <row r="69">
      <c r="A69" s="1"/>
      <c r="B69" s="7" t="s">
        <v>95</v>
      </c>
      <c r="C69" s="36">
        <v>11718.0</v>
      </c>
      <c r="D69" s="36"/>
      <c r="E69" s="1"/>
      <c r="F69" s="1"/>
      <c r="G69" s="1"/>
      <c r="H69" s="1"/>
    </row>
    <row r="70">
      <c r="A70" s="1"/>
      <c r="B70" s="7" t="s">
        <v>96</v>
      </c>
      <c r="C70" s="36">
        <v>15506.0</v>
      </c>
      <c r="D70" s="36"/>
      <c r="E70" s="1"/>
      <c r="F70" s="1"/>
      <c r="G70" s="1"/>
      <c r="H70" s="1"/>
    </row>
    <row r="71">
      <c r="A71" s="1"/>
      <c r="B71" s="7" t="s">
        <v>97</v>
      </c>
      <c r="C71" s="36">
        <v>4024.0</v>
      </c>
      <c r="D71" s="36">
        <v>4768.0</v>
      </c>
      <c r="E71" s="1"/>
      <c r="F71" s="1"/>
      <c r="G71" s="1"/>
      <c r="H71" s="1"/>
    </row>
    <row r="72">
      <c r="A72" s="1"/>
      <c r="B72" s="7" t="s">
        <v>98</v>
      </c>
      <c r="C72" s="36">
        <v>8672.0</v>
      </c>
      <c r="D72" s="36">
        <v>12663.0</v>
      </c>
      <c r="E72" s="1"/>
      <c r="F72" s="1"/>
      <c r="G72" s="1"/>
      <c r="H72" s="1"/>
    </row>
    <row r="73">
      <c r="A73" s="1"/>
      <c r="B73" s="7" t="s">
        <v>99</v>
      </c>
      <c r="C73" s="36">
        <v>2790.0</v>
      </c>
      <c r="D73" s="36">
        <v>3005.0</v>
      </c>
      <c r="E73" s="1"/>
      <c r="F73" s="1"/>
      <c r="G73" s="1"/>
      <c r="H73" s="1"/>
    </row>
    <row r="74">
      <c r="A74" s="1"/>
      <c r="B74" s="35" t="s">
        <v>100</v>
      </c>
      <c r="C74" s="36">
        <v>17192.0</v>
      </c>
      <c r="D74" s="36"/>
      <c r="E74" s="1"/>
      <c r="F74" s="1"/>
      <c r="G74" s="1"/>
      <c r="H74" s="1"/>
    </row>
    <row r="75">
      <c r="A75" s="1"/>
      <c r="B75" s="35" t="s">
        <v>101</v>
      </c>
      <c r="C75" s="36">
        <v>38961.0</v>
      </c>
      <c r="D75" s="36"/>
      <c r="E75" s="1"/>
      <c r="F75" s="1"/>
      <c r="G75" s="1"/>
      <c r="H75" s="1"/>
    </row>
    <row r="76">
      <c r="A76" s="1"/>
      <c r="B76" s="35" t="s">
        <v>102</v>
      </c>
      <c r="C76" s="36">
        <v>91146.0</v>
      </c>
      <c r="D76" s="36">
        <v>94094.0</v>
      </c>
      <c r="E76" s="1"/>
      <c r="F76" s="1"/>
      <c r="G76" s="1"/>
      <c r="H76" s="1"/>
    </row>
    <row r="77">
      <c r="A77" s="1"/>
      <c r="B77" s="7" t="s">
        <v>103</v>
      </c>
      <c r="C77" s="36">
        <v>10363.0</v>
      </c>
      <c r="D77" s="36">
        <v>10235.0</v>
      </c>
      <c r="E77" s="1"/>
      <c r="F77" s="1"/>
      <c r="G77" s="1"/>
      <c r="H77" s="1"/>
    </row>
    <row r="78">
      <c r="A78" s="1"/>
      <c r="B78" s="35" t="s">
        <v>104</v>
      </c>
      <c r="C78" s="36">
        <v>3478.0</v>
      </c>
      <c r="D78" s="36"/>
      <c r="E78" s="1"/>
      <c r="F78" s="1"/>
      <c r="G78" s="1"/>
      <c r="H78" s="1"/>
    </row>
    <row r="79">
      <c r="A79" s="1"/>
      <c r="B79" s="35" t="s">
        <v>105</v>
      </c>
      <c r="C79" s="36">
        <v>31805.0</v>
      </c>
      <c r="D79" s="36"/>
      <c r="E79" s="1"/>
      <c r="F79" s="1"/>
      <c r="G79" s="1"/>
      <c r="H79" s="1"/>
    </row>
    <row r="80">
      <c r="A80" s="1"/>
      <c r="B80" s="35" t="s">
        <v>106</v>
      </c>
      <c r="C80" s="36">
        <v>28830.0</v>
      </c>
      <c r="D80" s="36"/>
      <c r="E80" s="1"/>
      <c r="F80" s="1"/>
      <c r="G80" s="1"/>
      <c r="H80" s="1"/>
    </row>
    <row r="81">
      <c r="A81" s="1"/>
      <c r="B81" s="35" t="s">
        <v>107</v>
      </c>
      <c r="C81" s="36">
        <v>69057.0</v>
      </c>
      <c r="D81" s="36"/>
      <c r="E81" s="1"/>
      <c r="F81" s="1"/>
      <c r="G81" s="1"/>
      <c r="H81" s="1"/>
    </row>
    <row r="82">
      <c r="A82" s="1"/>
      <c r="B82" s="35" t="s">
        <v>108</v>
      </c>
      <c r="C82" s="36">
        <v>22089.0</v>
      </c>
      <c r="D82" s="36"/>
      <c r="E82" s="1"/>
      <c r="F82" s="1"/>
      <c r="G82" s="1"/>
      <c r="H82" s="1"/>
    </row>
    <row r="83">
      <c r="A83" s="1"/>
      <c r="B83" s="35"/>
      <c r="C83" s="18"/>
      <c r="D83" s="18"/>
      <c r="E83" s="1"/>
      <c r="F83" s="1"/>
      <c r="G83" s="1"/>
      <c r="H83" s="1"/>
    </row>
    <row r="84">
      <c r="A84" s="1"/>
      <c r="B84" s="35" t="s">
        <v>109</v>
      </c>
      <c r="C84" s="36">
        <v>196758.290432</v>
      </c>
      <c r="D84" s="18"/>
      <c r="E84" s="1"/>
      <c r="F84" s="1"/>
      <c r="G84" s="1"/>
      <c r="H84" s="1"/>
    </row>
    <row r="85">
      <c r="A85" s="1"/>
      <c r="B85" s="1"/>
      <c r="C85" s="1"/>
      <c r="D85" s="1"/>
      <c r="E85" s="1"/>
      <c r="F85" s="1"/>
      <c r="G85" s="1"/>
      <c r="H85" s="1"/>
    </row>
    <row r="86">
      <c r="A86" s="1"/>
      <c r="B86" s="1"/>
      <c r="C86" s="1"/>
      <c r="D86" s="1"/>
      <c r="E86" s="1"/>
      <c r="F86" s="1"/>
      <c r="G86" s="1"/>
      <c r="H86" s="1"/>
    </row>
    <row r="87">
      <c r="A87" s="1"/>
      <c r="B87" s="9" t="s">
        <v>63</v>
      </c>
      <c r="C87" s="1"/>
      <c r="E87" s="1"/>
      <c r="F87" s="1"/>
      <c r="G87" s="1"/>
      <c r="H87" s="1"/>
    </row>
    <row r="88">
      <c r="A88" s="1"/>
      <c r="B88" s="10" t="s">
        <v>64</v>
      </c>
      <c r="C88" s="1"/>
      <c r="D88" s="1"/>
      <c r="E88" s="1"/>
      <c r="F88" s="1"/>
      <c r="G88" s="1"/>
      <c r="H88" s="1"/>
    </row>
    <row r="89">
      <c r="A89" s="1"/>
      <c r="B89" s="1"/>
      <c r="C89" s="1"/>
      <c r="D89" s="1"/>
      <c r="E89" s="1"/>
      <c r="F89" s="1"/>
      <c r="G89" s="1"/>
      <c r="H89" s="1"/>
    </row>
    <row r="90">
      <c r="A90" s="1"/>
      <c r="B90" s="1"/>
      <c r="C90" s="1"/>
      <c r="D90" s="1"/>
      <c r="E90" s="1"/>
      <c r="F90" s="1"/>
      <c r="G90" s="1"/>
      <c r="H90" s="1"/>
    </row>
  </sheetData>
  <mergeCells count="2">
    <mergeCell ref="B2:E2"/>
    <mergeCell ref="B3:E3"/>
  </mergeCells>
  <hyperlinks>
    <hyperlink r:id="rId1" ref="B88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4" width="18.25"/>
    <col customWidth="1" min="5" max="5" width="4.63"/>
    <col customWidth="1" min="6" max="6" width="3.5"/>
    <col customWidth="1" min="7" max="7" width="59.5"/>
    <col customWidth="1" min="8" max="8" width="1.75"/>
  </cols>
  <sheetData>
    <row r="1" ht="10.5" customHeight="1">
      <c r="A1" s="1"/>
      <c r="B1" s="2"/>
      <c r="C1" s="1"/>
      <c r="D1" s="1"/>
      <c r="E1" s="1"/>
      <c r="F1" s="1"/>
      <c r="G1" s="1"/>
      <c r="H1" s="1"/>
    </row>
    <row r="2">
      <c r="A2" s="1"/>
      <c r="B2" s="11" t="s">
        <v>65</v>
      </c>
      <c r="C2" s="12"/>
      <c r="D2" s="12"/>
      <c r="E2" s="12"/>
      <c r="F2" s="1"/>
      <c r="G2" s="1"/>
      <c r="H2" s="1"/>
    </row>
    <row r="3">
      <c r="A3" s="1"/>
      <c r="B3" s="13" t="s">
        <v>1</v>
      </c>
      <c r="C3" s="12"/>
      <c r="D3" s="12"/>
      <c r="E3" s="12"/>
      <c r="F3" s="1"/>
      <c r="G3" s="14" t="s">
        <v>66</v>
      </c>
      <c r="H3" s="1"/>
    </row>
    <row r="4">
      <c r="A4" s="1"/>
      <c r="B4" s="1"/>
      <c r="C4" s="1"/>
      <c r="D4" s="1"/>
      <c r="E4" s="1"/>
      <c r="F4" s="15" t="s">
        <v>67</v>
      </c>
      <c r="G4" s="2" t="s">
        <v>110</v>
      </c>
      <c r="H4" s="1"/>
    </row>
    <row r="5">
      <c r="A5" s="1"/>
      <c r="B5" s="16" t="s">
        <v>69</v>
      </c>
      <c r="C5" s="17" t="s">
        <v>70</v>
      </c>
      <c r="D5" s="18"/>
      <c r="E5" s="1"/>
      <c r="F5" s="1"/>
      <c r="G5" s="37" t="s">
        <v>111</v>
      </c>
      <c r="H5" s="1"/>
    </row>
    <row r="6">
      <c r="A6" s="1"/>
      <c r="B6" s="16" t="s">
        <v>72</v>
      </c>
      <c r="C6" s="38" t="str">
        <f>FNBX($C$5,"name")</f>
        <v>#NAME?</v>
      </c>
      <c r="D6" s="18"/>
      <c r="E6" s="1"/>
      <c r="F6" s="15" t="s">
        <v>74</v>
      </c>
      <c r="G6" s="2" t="s">
        <v>112</v>
      </c>
      <c r="H6" s="1"/>
    </row>
    <row r="7">
      <c r="A7" s="1"/>
      <c r="B7" s="16" t="s">
        <v>76</v>
      </c>
      <c r="C7" s="38" t="str">
        <f>FNBX($C$5,"sector")</f>
        <v>#NAME?</v>
      </c>
      <c r="D7" s="18"/>
      <c r="E7" s="1"/>
      <c r="F7" s="15" t="s">
        <v>113</v>
      </c>
      <c r="G7" s="2" t="s">
        <v>114</v>
      </c>
      <c r="H7" s="1"/>
    </row>
    <row r="8">
      <c r="A8" s="1"/>
      <c r="C8" s="18"/>
      <c r="D8" s="18"/>
      <c r="E8" s="1"/>
      <c r="F8" s="15" t="s">
        <v>115</v>
      </c>
      <c r="G8" s="2" t="s">
        <v>116</v>
      </c>
      <c r="H8" s="1"/>
    </row>
    <row r="9">
      <c r="E9" s="1"/>
      <c r="F9" s="1"/>
      <c r="G9" s="2" t="s">
        <v>117</v>
      </c>
    </row>
    <row r="11">
      <c r="A11" s="1"/>
      <c r="B11" s="5" t="s">
        <v>2</v>
      </c>
      <c r="C11" s="21" t="s">
        <v>3</v>
      </c>
      <c r="D11" s="21" t="s">
        <v>78</v>
      </c>
      <c r="E11" s="5"/>
      <c r="F11" s="5" t="s">
        <v>79</v>
      </c>
      <c r="G11" s="1"/>
      <c r="H11" s="1"/>
    </row>
    <row r="12">
      <c r="A12" s="1"/>
      <c r="B12" s="6" t="s">
        <v>5</v>
      </c>
      <c r="C12" s="1"/>
      <c r="D12" s="1"/>
      <c r="E12" s="1"/>
      <c r="F12" s="1"/>
      <c r="G12" s="1"/>
      <c r="H12" s="1"/>
    </row>
    <row r="13">
      <c r="A13" s="1"/>
      <c r="C13" s="1"/>
      <c r="D13" s="1"/>
      <c r="E13" s="1"/>
      <c r="F13" s="1"/>
      <c r="G13" s="1"/>
      <c r="H13" s="1"/>
    </row>
    <row r="14">
      <c r="A14" s="1"/>
      <c r="B14" s="7" t="str">
        <f>'Cheat Sheet'!B8</f>
        <v>EBIT Interest Coverage</v>
      </c>
      <c r="C14" s="39" t="str">
        <f>IFERROR(C60/C62,"NA")</f>
        <v>NA</v>
      </c>
      <c r="D14" s="23" t="str">
        <f>IF(AND(ISNUMBER(C14),C14&gt;3),"Good","Bad")</f>
        <v>Bad</v>
      </c>
      <c r="E14" s="1"/>
      <c r="F14" s="2" t="str">
        <f>'Cheat Sheet'!C8</f>
        <v>Earnings Before Interest &amp; Taxes / Interest Expense</v>
      </c>
      <c r="G14" s="2"/>
      <c r="H14" s="1"/>
    </row>
    <row r="15">
      <c r="A15" s="1"/>
      <c r="B15" s="7" t="str">
        <f>'Cheat Sheet'!B9</f>
        <v>EBITDA Interest Coverage</v>
      </c>
      <c r="C15" s="39" t="str">
        <f>IFERROR(C61/C62,"NA")</f>
        <v>NA</v>
      </c>
      <c r="D15" s="23" t="str">
        <f>IF(AND(ISNUMBER(C15),C15&gt;4),"Good","Bad")</f>
        <v>Bad</v>
      </c>
      <c r="E15" s="1"/>
      <c r="F15" s="2" t="str">
        <f>'Cheat Sheet'!C9</f>
        <v>Earnings Before Interest, Taxes, Depreciation &amp; Amortization / Interest Expense</v>
      </c>
      <c r="G15" s="2"/>
      <c r="H15" s="1"/>
    </row>
    <row r="16">
      <c r="A16" s="1"/>
      <c r="B16" s="7" t="str">
        <f>'Cheat Sheet'!B10</f>
        <v>EBITDA less CapEx Interest Coverage</v>
      </c>
      <c r="C16" s="39" t="str">
        <f>IFERROR((C61-AVERAGE(C65:D65))/C62,"NA")</f>
        <v>NA</v>
      </c>
      <c r="D16" s="23" t="str">
        <f>IF(AND(ISNUMBER(C16),C16&gt;3),"Good","Bad")</f>
        <v>Bad</v>
      </c>
      <c r="E16" s="1"/>
      <c r="F16" s="2" t="str">
        <f>'Cheat Sheet'!C10</f>
        <v>(EBITDA - 2 Year Average Capital Expenditures) / Interest Expense</v>
      </c>
      <c r="G16" s="2"/>
      <c r="H16" s="1"/>
    </row>
    <row r="17">
      <c r="A17" s="1"/>
      <c r="C17" s="1"/>
      <c r="D17" s="1"/>
      <c r="E17" s="1"/>
      <c r="F17" s="1"/>
      <c r="G17" s="1"/>
      <c r="H17" s="1"/>
    </row>
    <row r="18" ht="7.5" customHeight="1">
      <c r="A18" s="1"/>
      <c r="D18" s="1"/>
      <c r="E18" s="1"/>
      <c r="F18" s="1"/>
      <c r="G18" s="1"/>
      <c r="H18" s="1"/>
    </row>
    <row r="19">
      <c r="A19" s="1"/>
      <c r="B19" s="5" t="s">
        <v>14</v>
      </c>
      <c r="C19" s="21" t="s">
        <v>3</v>
      </c>
      <c r="D19" s="21" t="s">
        <v>78</v>
      </c>
      <c r="E19" s="5"/>
      <c r="F19" s="5" t="s">
        <v>79</v>
      </c>
      <c r="G19" s="1"/>
      <c r="H19" s="1"/>
    </row>
    <row r="20">
      <c r="A20" s="1"/>
      <c r="B20" s="6" t="s">
        <v>15</v>
      </c>
      <c r="C20" s="1"/>
      <c r="D20" s="1"/>
      <c r="E20" s="1"/>
      <c r="F20" s="1"/>
      <c r="G20" s="1"/>
      <c r="H20" s="1"/>
    </row>
    <row r="21">
      <c r="A21" s="1"/>
      <c r="C21" s="1"/>
      <c r="D21" s="1"/>
      <c r="E21" s="1"/>
      <c r="F21" s="1"/>
      <c r="G21" s="1"/>
      <c r="H21" s="1"/>
    </row>
    <row r="22">
      <c r="A22" s="1"/>
      <c r="B22" s="7" t="str">
        <f>'Cheat Sheet'!B16</f>
        <v>Debt to Equity</v>
      </c>
      <c r="C22" s="40" t="str">
        <f>(C78+C79)/(C82)</f>
        <v>#NAME?</v>
      </c>
      <c r="D22" s="23" t="str">
        <f>IF(AND(C22&lt;0.75,C22&gt;0),"Good","Bad")</f>
        <v>#NAME?</v>
      </c>
      <c r="E22" s="1"/>
      <c r="F22" s="2" t="str">
        <f>'Cheat Sheet'!C16</f>
        <v>(Current Debt + Long Term Debt) / Common Equity</v>
      </c>
      <c r="G22" s="2"/>
      <c r="H22" s="1"/>
    </row>
    <row r="23">
      <c r="A23" s="1"/>
      <c r="B23" s="7" t="str">
        <f>'Cheat Sheet'!B17</f>
        <v>Debt to Tangible Equity</v>
      </c>
      <c r="C23" s="40" t="str">
        <f>(C78+C79)/(C82-C74)</f>
        <v>#NAME?</v>
      </c>
      <c r="D23" s="23" t="str">
        <f>IF(AND(C23&lt;1,C23&gt;0),"Good","Bad")</f>
        <v>#NAME?</v>
      </c>
      <c r="E23" s="1"/>
      <c r="F23" s="2" t="str">
        <f>'Cheat Sheet'!C17</f>
        <v>(Current Debt + Long Term Debt) / (Common Equity - Intangible Assets)</v>
      </c>
      <c r="G23" s="2"/>
      <c r="H23" s="1"/>
    </row>
    <row r="24">
      <c r="A24" s="1"/>
      <c r="B24" s="7" t="str">
        <f>'Cheat Sheet'!B18</f>
        <v>Debt To Total Capital</v>
      </c>
      <c r="C24" s="40" t="str">
        <f>(C78+C79)/(C78+C79+C84)</f>
        <v>#NAME?</v>
      </c>
      <c r="D24" s="23" t="str">
        <f>IF(C24&lt;0.3,"Good","Bad")</f>
        <v>#NAME?</v>
      </c>
      <c r="E24" s="1"/>
      <c r="F24" s="2" t="str">
        <f>'Cheat Sheet'!C18</f>
        <v>(Current Debt + Long Term Debt) / (Total Debt + Market Capitalization)</v>
      </c>
      <c r="G24" s="2"/>
      <c r="H24" s="1"/>
    </row>
    <row r="25">
      <c r="A25" s="1"/>
      <c r="B25" s="7" t="str">
        <f>'Cheat Sheet'!B19</f>
        <v>Cash Flow to Total Debt</v>
      </c>
      <c r="C25" s="40" t="str">
        <f>C66/(C78+C79)</f>
        <v>#NAME?</v>
      </c>
      <c r="D25" s="23" t="str">
        <f>IF(C25&gt;0.1,"Good","Bad")</f>
        <v>#NAME?</v>
      </c>
      <c r="E25" s="1"/>
      <c r="F25" s="2" t="str">
        <f>'Cheat Sheet'!C19</f>
        <v>Cash Flow from Operations / Total Debt</v>
      </c>
      <c r="G25" s="2"/>
      <c r="H25" s="1"/>
    </row>
    <row r="26">
      <c r="A26" s="1"/>
      <c r="B26" s="7" t="str">
        <f>'Cheat Sheet'!B20</f>
        <v>Liabilities to Assets</v>
      </c>
      <c r="C26" s="40" t="str">
        <f>C81/C76</f>
        <v>#NAME?</v>
      </c>
      <c r="D26" s="23" t="str">
        <f>IF(C26&lt;0.5,"Good","Bad")</f>
        <v>#NAME?</v>
      </c>
      <c r="E26" s="1"/>
      <c r="F26" s="2" t="str">
        <f>'Cheat Sheet'!C20</f>
        <v>Total Liabilities / Total Assets</v>
      </c>
      <c r="G26" s="2"/>
      <c r="H26" s="1"/>
    </row>
    <row r="27">
      <c r="A27" s="1"/>
      <c r="D27" s="1"/>
      <c r="E27" s="1"/>
      <c r="F27" s="1"/>
      <c r="G27" s="1"/>
      <c r="H27" s="1"/>
    </row>
    <row r="28" ht="7.5" customHeight="1">
      <c r="A28" s="1"/>
      <c r="D28" s="1"/>
      <c r="E28" s="1"/>
      <c r="F28" s="1"/>
      <c r="G28" s="1"/>
      <c r="H28" s="1"/>
    </row>
    <row r="29">
      <c r="A29" s="1"/>
      <c r="B29" s="5" t="s">
        <v>31</v>
      </c>
      <c r="C29" s="21" t="s">
        <v>3</v>
      </c>
      <c r="D29" s="21" t="s">
        <v>78</v>
      </c>
      <c r="E29" s="5"/>
      <c r="F29" s="5" t="s">
        <v>79</v>
      </c>
      <c r="G29" s="1"/>
      <c r="H29" s="1"/>
    </row>
    <row r="30">
      <c r="A30" s="1"/>
      <c r="B30" s="6" t="s">
        <v>32</v>
      </c>
      <c r="C30" s="1"/>
      <c r="D30" s="1"/>
      <c r="E30" s="1"/>
      <c r="F30" s="1"/>
      <c r="G30" s="1"/>
      <c r="H30" s="1"/>
    </row>
    <row r="31">
      <c r="A31" s="1"/>
      <c r="B31" s="1"/>
      <c r="C31" s="1"/>
      <c r="D31" s="1"/>
      <c r="E31" s="1"/>
      <c r="F31" s="1"/>
      <c r="G31" s="1"/>
      <c r="H31" s="1"/>
    </row>
    <row r="32">
      <c r="A32" s="1"/>
      <c r="B32" s="7" t="str">
        <f>'Cheat Sheet'!B26</f>
        <v>Cash Ratio</v>
      </c>
      <c r="C32" s="39" t="str">
        <f>(C69+C70)/C80</f>
        <v>#NAME?</v>
      </c>
      <c r="D32" s="23" t="str">
        <f>IF(C32&gt;0.75,"Good","Bad")</f>
        <v>#NAME?</v>
      </c>
      <c r="E32" s="1"/>
      <c r="F32" s="2" t="str">
        <f>'Cheat Sheet'!C26</f>
        <v>(Cash &amp; Short Term Investments) / Current Liabilities</v>
      </c>
      <c r="G32" s="2"/>
      <c r="H32" s="1"/>
    </row>
    <row r="33">
      <c r="A33" s="1"/>
      <c r="B33" s="7" t="str">
        <f>'Cheat Sheet'!B27</f>
        <v>Quick Ratio</v>
      </c>
      <c r="C33" s="39" t="str">
        <f>(C69+C70+C71)/C80</f>
        <v>#NAME?</v>
      </c>
      <c r="D33" s="23" t="str">
        <f>IF(C33&gt;1,"Good","Bad")</f>
        <v>#NAME?</v>
      </c>
      <c r="E33" s="1"/>
      <c r="F33" s="2" t="str">
        <f>'Cheat Sheet'!C27</f>
        <v>(Cash &amp; Short Term Investments + Receivables) / Current Liabilities</v>
      </c>
      <c r="G33" s="2"/>
      <c r="H33" s="1"/>
    </row>
    <row r="34">
      <c r="A34" s="1"/>
      <c r="B34" s="7" t="str">
        <f>'Cheat Sheet'!B28</f>
        <v>Current Ratio</v>
      </c>
      <c r="C34" s="39" t="str">
        <f>C75/C80</f>
        <v>#NAME?</v>
      </c>
      <c r="D34" s="23" t="str">
        <f>IF(C34&gt;1.5,"Good","Bad")</f>
        <v>#NAME?</v>
      </c>
      <c r="E34" s="1"/>
      <c r="F34" s="2" t="str">
        <f>'Cheat Sheet'!C28</f>
        <v>Current Assets / Current Liabilities</v>
      </c>
      <c r="G34" s="2"/>
      <c r="H34" s="1"/>
    </row>
    <row r="35">
      <c r="A35" s="1"/>
      <c r="C35" s="1"/>
      <c r="D35" s="1"/>
      <c r="E35" s="1"/>
      <c r="F35" s="1"/>
      <c r="G35" s="1"/>
      <c r="H35" s="1"/>
    </row>
    <row r="36" ht="7.5" customHeight="1">
      <c r="A36" s="1"/>
      <c r="D36" s="1"/>
      <c r="E36" s="1"/>
      <c r="F36" s="1"/>
      <c r="G36" s="1"/>
      <c r="H36" s="1"/>
    </row>
    <row r="37">
      <c r="A37" s="1"/>
      <c r="B37" s="5" t="s">
        <v>42</v>
      </c>
      <c r="C37" s="21" t="s">
        <v>3</v>
      </c>
      <c r="D37" s="21" t="s">
        <v>78</v>
      </c>
      <c r="E37" s="5"/>
      <c r="F37" s="5" t="s">
        <v>79</v>
      </c>
      <c r="G37" s="1"/>
      <c r="H37" s="1"/>
    </row>
    <row r="38">
      <c r="A38" s="1"/>
      <c r="B38" s="6" t="s">
        <v>43</v>
      </c>
      <c r="C38" s="1"/>
      <c r="D38" s="1"/>
      <c r="E38" s="1"/>
      <c r="F38" s="1"/>
      <c r="G38" s="1"/>
      <c r="H38" s="1"/>
    </row>
    <row r="39">
      <c r="A39" s="1"/>
      <c r="B39" s="1"/>
      <c r="C39" s="1"/>
      <c r="D39" s="1"/>
      <c r="E39" s="1"/>
      <c r="F39" s="1"/>
      <c r="G39" s="1"/>
      <c r="H39" s="1"/>
    </row>
    <row r="40">
      <c r="A40" s="1"/>
      <c r="B40" s="7" t="str">
        <f>'Cheat Sheet'!B34</f>
        <v>Asset Turnover</v>
      </c>
      <c r="C40" s="22" t="str">
        <f>C58/AVERAGE(C76,D76)</f>
        <v>#NAME?</v>
      </c>
      <c r="D40" s="23" t="str">
        <f>IF(C40&gt;1,"Good","Bad")</f>
        <v>#NAME?</v>
      </c>
      <c r="E40" s="1"/>
      <c r="F40" s="2" t="str">
        <f>'Cheat Sheet'!C34</f>
        <v>Sales / Average Total Assets</v>
      </c>
      <c r="G40" s="2"/>
      <c r="H40" s="1"/>
    </row>
    <row r="41">
      <c r="A41" s="1"/>
      <c r="B41" s="7" t="str">
        <f>'Cheat Sheet'!B35</f>
        <v>Fixed Asset Turnover</v>
      </c>
      <c r="C41" s="22" t="str">
        <f t="shared" ref="C41:C42" si="1">C58/AVERAGE(C72,D72)</f>
        <v>#NAME?</v>
      </c>
      <c r="D41" s="23" t="str">
        <f>IF(C41&gt;2,"Good","Bad")</f>
        <v>#NAME?</v>
      </c>
      <c r="E41" s="1"/>
      <c r="F41" s="2" t="str">
        <f>'Cheat Sheet'!C35</f>
        <v>Sales / Average Net Property, Plant, and Equipment</v>
      </c>
      <c r="G41" s="2"/>
      <c r="H41" s="1"/>
    </row>
    <row r="42">
      <c r="A42" s="1"/>
      <c r="B42" s="7" t="str">
        <f>'Cheat Sheet'!B36</f>
        <v>Inventory Turnover</v>
      </c>
      <c r="C42" s="22" t="str">
        <f t="shared" si="1"/>
        <v>#NAME?</v>
      </c>
      <c r="D42" s="23" t="str">
        <f>IF(C42&gt;8,"Good","Bad")</f>
        <v>#NAME?</v>
      </c>
      <c r="E42" s="1"/>
      <c r="F42" s="2" t="str">
        <f>'Cheat Sheet'!C36</f>
        <v>COGS / Average Inventory</v>
      </c>
      <c r="G42" s="2"/>
      <c r="H42" s="1"/>
    </row>
    <row r="43">
      <c r="A43" s="1"/>
      <c r="B43" s="7" t="str">
        <f>'Cheat Sheet'!B37</f>
        <v>Cash Conversion Cycle</v>
      </c>
      <c r="C43" s="25" t="str">
        <f>C47+C48-C49</f>
        <v>#NAME?</v>
      </c>
      <c r="D43" s="23" t="str">
        <f>IF(C43&lt;45,"Good","Bad")</f>
        <v>#NAME?</v>
      </c>
      <c r="E43" s="1"/>
      <c r="F43" s="2" t="str">
        <f>'Cheat Sheet'!C37</f>
        <v>Days Sales Outstanding + Days Inventory Outstanding - Days Payable Outstanding</v>
      </c>
      <c r="G43" s="2"/>
      <c r="H43" s="1"/>
    </row>
    <row r="44">
      <c r="A44" s="1"/>
      <c r="B44" s="1"/>
      <c r="C44" s="1"/>
      <c r="D44" s="1"/>
      <c r="E44" s="1"/>
      <c r="F44" s="1"/>
      <c r="G44" s="1"/>
      <c r="H44" s="1"/>
    </row>
    <row r="45" ht="7.5" customHeight="1">
      <c r="A45" s="1"/>
      <c r="D45" s="1"/>
      <c r="E45" s="1"/>
      <c r="F45" s="1"/>
      <c r="G45" s="1"/>
      <c r="H45" s="1"/>
    </row>
    <row r="46">
      <c r="A46" s="1"/>
      <c r="B46" s="5" t="s">
        <v>80</v>
      </c>
      <c r="C46" s="21" t="s">
        <v>3</v>
      </c>
      <c r="D46" s="5"/>
      <c r="E46" s="5"/>
      <c r="F46" s="5" t="s">
        <v>79</v>
      </c>
      <c r="G46" s="1"/>
      <c r="H46" s="1"/>
    </row>
    <row r="47">
      <c r="A47" s="1"/>
      <c r="B47" s="7" t="str">
        <f>'Cheat Sheet'!B41</f>
        <v>Days Sales Outstanding</v>
      </c>
      <c r="C47" s="25" t="str">
        <f>AVERAGE(C71,D71)/C58*365</f>
        <v>#NAME?</v>
      </c>
      <c r="D47" s="23" t="str">
        <f t="shared" ref="D47:D48" si="2">IF(C47&lt;45,"Good","Bad")</f>
        <v>#NAME?</v>
      </c>
      <c r="E47" s="1"/>
      <c r="F47" s="2" t="str">
        <f>'Cheat Sheet'!C41</f>
        <v>(Average Accounts Receivable / Sales) x 365</v>
      </c>
      <c r="G47" s="2"/>
      <c r="H47" s="1"/>
    </row>
    <row r="48">
      <c r="A48" s="1"/>
      <c r="B48" s="7" t="str">
        <f>'Cheat Sheet'!B42</f>
        <v>Days Inventory Outstanding</v>
      </c>
      <c r="C48" s="25" t="str">
        <f>AVERAGE(C73,D73)/C59*365</f>
        <v>#NAME?</v>
      </c>
      <c r="D48" s="23" t="str">
        <f t="shared" si="2"/>
        <v>#NAME?</v>
      </c>
      <c r="E48" s="1"/>
      <c r="F48" s="2" t="str">
        <f>'Cheat Sheet'!C42</f>
        <v>(Average Inventory / Cost of Sales) x 365</v>
      </c>
      <c r="G48" s="2"/>
      <c r="H48" s="1"/>
    </row>
    <row r="49">
      <c r="A49" s="1"/>
      <c r="B49" s="7" t="str">
        <f>'Cheat Sheet'!B43</f>
        <v>Days Payable Outstanding</v>
      </c>
      <c r="C49" s="25" t="str">
        <f>AVERAGE(C77,D77)/C59*365</f>
        <v>#NAME?</v>
      </c>
      <c r="D49" s="23" t="str">
        <f>IF(C49&gt;45,"Good","Bad")</f>
        <v>#NAME?</v>
      </c>
      <c r="E49" s="1"/>
      <c r="F49" s="2" t="str">
        <f>'Cheat Sheet'!C43</f>
        <v>(Average Accounts Payable / Cost of Sales) x 365</v>
      </c>
      <c r="G49" s="2"/>
      <c r="H49" s="1"/>
    </row>
    <row r="50">
      <c r="A50" s="1"/>
      <c r="C50" s="1"/>
      <c r="D50" s="1"/>
      <c r="E50" s="1"/>
      <c r="F50" s="1"/>
      <c r="G50" s="1"/>
      <c r="H50" s="1"/>
    </row>
    <row r="51">
      <c r="A51" s="1"/>
      <c r="C51" s="1"/>
      <c r="D51" s="1"/>
      <c r="E51" s="1"/>
      <c r="F51" s="1"/>
      <c r="G51" s="1"/>
      <c r="H51" s="1"/>
    </row>
    <row r="52">
      <c r="A52" s="1"/>
      <c r="B52" s="26" t="s">
        <v>118</v>
      </c>
      <c r="C52" s="27"/>
      <c r="D52" s="28"/>
      <c r="E52" s="1"/>
      <c r="H52" s="1"/>
    </row>
    <row r="53">
      <c r="A53" s="1"/>
      <c r="B53" s="29"/>
      <c r="C53" s="30"/>
      <c r="D53" s="30"/>
      <c r="E53" s="1"/>
      <c r="H53" s="1"/>
    </row>
    <row r="54">
      <c r="A54" s="1"/>
      <c r="C54" s="31" t="s">
        <v>82</v>
      </c>
      <c r="D54" s="31" t="s">
        <v>83</v>
      </c>
      <c r="E54" s="1"/>
      <c r="F54" s="1"/>
      <c r="H54" s="1"/>
    </row>
    <row r="55">
      <c r="A55" s="1"/>
      <c r="B55" s="7" t="s">
        <v>84</v>
      </c>
      <c r="C55" s="41" t="str">
        <f>FNBX($C$5,"period_end_date","FQ")</f>
        <v>#NAME?</v>
      </c>
      <c r="D55" s="41" t="str">
        <f>FNBX($C$5,"period_end_date","FQ-4")</f>
        <v>#NAME?</v>
      </c>
      <c r="E55" s="1"/>
      <c r="F55" s="1"/>
      <c r="G55" s="1"/>
      <c r="H55" s="1"/>
    </row>
    <row r="56">
      <c r="A56" s="1"/>
      <c r="B56" s="29"/>
      <c r="C56" s="33"/>
      <c r="D56" s="33"/>
      <c r="E56" s="1"/>
      <c r="F56" s="1"/>
      <c r="G56" s="1"/>
      <c r="H56" s="1"/>
    </row>
    <row r="57">
      <c r="A57" s="1"/>
      <c r="B57" s="29" t="s">
        <v>85</v>
      </c>
      <c r="C57" s="33"/>
      <c r="D57" s="33"/>
      <c r="E57" s="1"/>
      <c r="F57" s="1"/>
      <c r="G57" s="1"/>
      <c r="H57" s="1"/>
    </row>
    <row r="58">
      <c r="A58" s="1"/>
      <c r="B58" s="7" t="s">
        <v>86</v>
      </c>
      <c r="C58" s="42" t="str">
        <f>FNBX($C$5,"revenue","LTM")</f>
        <v>#NAME?</v>
      </c>
      <c r="D58" s="42" t="str">
        <f>FNBX($C$5,"revenue","LTM-1")</f>
        <v>#NAME?</v>
      </c>
      <c r="E58" s="1"/>
      <c r="F58" s="1"/>
      <c r="G58" s="1"/>
      <c r="H58" s="1"/>
    </row>
    <row r="59">
      <c r="A59" s="1"/>
      <c r="B59" s="35" t="s">
        <v>87</v>
      </c>
      <c r="C59" s="42" t="str">
        <f>FNBX($C$5,"cogs","LTM")</f>
        <v>#NAME?</v>
      </c>
      <c r="D59" s="42" t="str">
        <f>FNBX($C$5,"cogs","LTM-1")</f>
        <v>#NAME?</v>
      </c>
      <c r="E59" s="1"/>
      <c r="F59" s="1"/>
      <c r="G59" s="1"/>
      <c r="H59" s="1"/>
    </row>
    <row r="60">
      <c r="A60" s="1"/>
      <c r="B60" s="35" t="s">
        <v>88</v>
      </c>
      <c r="C60" s="42" t="str">
        <f>FNBX($C$5,"ebit","LTM")</f>
        <v>#NAME?</v>
      </c>
      <c r="D60" s="42" t="str">
        <f>FNBX($C$5,"ebit","LTM-1")</f>
        <v>#NAME?</v>
      </c>
      <c r="E60" s="1"/>
      <c r="F60" s="1"/>
      <c r="G60" s="1"/>
      <c r="H60" s="1"/>
    </row>
    <row r="61">
      <c r="A61" s="1"/>
      <c r="B61" s="7" t="s">
        <v>89</v>
      </c>
      <c r="C61" s="42" t="str">
        <f>FNBX($C$5,"ebitda","LTM")</f>
        <v>#NAME?</v>
      </c>
      <c r="D61" s="42" t="str">
        <f>FNBX($C$5,"ebitda","LTM-1")</f>
        <v>#NAME?</v>
      </c>
      <c r="E61" s="1"/>
      <c r="F61" s="1"/>
      <c r="G61" s="1"/>
      <c r="H61" s="1"/>
    </row>
    <row r="62">
      <c r="A62" s="1"/>
      <c r="B62" s="35" t="s">
        <v>90</v>
      </c>
      <c r="C62" s="42" t="str">
        <f>FNBX($C$5,"interest_exp","LTM")</f>
        <v>#NAME?</v>
      </c>
      <c r="D62" s="42" t="str">
        <f>FNBX($C$5,"interest_exp","LTM-1")</f>
        <v>#NAME?</v>
      </c>
      <c r="E62" s="1"/>
      <c r="F62" s="1"/>
      <c r="G62" s="1"/>
      <c r="H62" s="1"/>
    </row>
    <row r="63">
      <c r="A63" s="1"/>
      <c r="B63" s="18"/>
      <c r="C63" s="18"/>
      <c r="D63" s="18"/>
      <c r="E63" s="1"/>
      <c r="F63" s="1"/>
      <c r="G63" s="1"/>
      <c r="H63" s="1"/>
    </row>
    <row r="64">
      <c r="A64" s="1"/>
      <c r="B64" s="29" t="s">
        <v>91</v>
      </c>
      <c r="E64" s="1"/>
      <c r="F64" s="1"/>
      <c r="G64" s="1"/>
      <c r="H64" s="1"/>
    </row>
    <row r="65">
      <c r="A65" s="1"/>
      <c r="B65" s="35" t="s">
        <v>92</v>
      </c>
      <c r="C65" s="42" t="str">
        <f>FNBX($C$5,"capex","LTM")</f>
        <v>#NAME?</v>
      </c>
      <c r="D65" s="42" t="str">
        <f>FNBX($C$5,"capex","LTM-1")</f>
        <v>#NAME?</v>
      </c>
      <c r="E65" s="1"/>
      <c r="F65" s="1"/>
      <c r="G65" s="1"/>
      <c r="H65" s="1"/>
    </row>
    <row r="66">
      <c r="A66" s="1"/>
      <c r="B66" s="35" t="s">
        <v>93</v>
      </c>
      <c r="C66" s="42" t="str">
        <f>FNBX($C$5,"cash_from_operations","LTM")</f>
        <v>#NAME?</v>
      </c>
      <c r="D66" s="42" t="str">
        <f>FNBX($C$5,"cash_from_operations","LTM-1")</f>
        <v>#NAME?</v>
      </c>
      <c r="E66" s="1"/>
      <c r="F66" s="1"/>
      <c r="G66" s="1"/>
      <c r="H66" s="1"/>
    </row>
    <row r="67">
      <c r="A67" s="1"/>
      <c r="B67" s="18"/>
      <c r="C67" s="18"/>
      <c r="D67" s="18"/>
      <c r="E67" s="1"/>
      <c r="F67" s="1"/>
      <c r="G67" s="1"/>
      <c r="H67" s="1"/>
    </row>
    <row r="68">
      <c r="A68" s="1"/>
      <c r="B68" s="29" t="s">
        <v>94</v>
      </c>
      <c r="C68" s="18"/>
      <c r="D68" s="18"/>
      <c r="E68" s="1"/>
      <c r="F68" s="1"/>
      <c r="G68" s="1"/>
      <c r="H68" s="1"/>
    </row>
    <row r="69">
      <c r="A69" s="1"/>
      <c r="B69" s="7" t="s">
        <v>95</v>
      </c>
      <c r="C69" s="43" t="str">
        <f>FNBX($C$5,"cash_end","LTM")</f>
        <v>#NAME?</v>
      </c>
      <c r="D69" s="43" t="str">
        <f>FNBX($C$5,"cash_end","FQ-4")</f>
        <v>#NAME?</v>
      </c>
      <c r="E69" s="1"/>
      <c r="F69" s="1"/>
      <c r="G69" s="1"/>
      <c r="H69" s="1"/>
    </row>
    <row r="70">
      <c r="A70" s="1"/>
      <c r="B70" s="7" t="s">
        <v>96</v>
      </c>
      <c r="C70" s="43" t="str">
        <f>FNBX($C$5,"investments_st","FQ")</f>
        <v>#NAME?</v>
      </c>
      <c r="D70" s="43" t="str">
        <f>FNBX($C$5,"investments_st","FQ-4")</f>
        <v>#NAME?</v>
      </c>
      <c r="E70" s="1"/>
      <c r="F70" s="1"/>
      <c r="G70" s="1"/>
      <c r="H70" s="1"/>
    </row>
    <row r="71">
      <c r="A71" s="1"/>
      <c r="B71" s="7" t="s">
        <v>97</v>
      </c>
      <c r="C71" s="43" t="str">
        <f>FNBX($C$5,"ar","FQ")</f>
        <v>#NAME?</v>
      </c>
      <c r="D71" s="43" t="str">
        <f>FNBX($C$5,"ar","FQ-4")</f>
        <v>#NAME?</v>
      </c>
      <c r="E71" s="1"/>
      <c r="F71" s="1"/>
      <c r="G71" s="1"/>
      <c r="H71" s="1"/>
    </row>
    <row r="72">
      <c r="A72" s="1"/>
      <c r="B72" s="7" t="s">
        <v>98</v>
      </c>
      <c r="C72" s="43" t="str">
        <f>FNBX($C$5,"ppe","FQ")</f>
        <v>#NAME?</v>
      </c>
      <c r="D72" s="43" t="str">
        <f>FNBX($C$5,"ppe","FQ-4")</f>
        <v>#NAME?</v>
      </c>
      <c r="E72" s="1"/>
      <c r="F72" s="1"/>
      <c r="G72" s="1"/>
      <c r="H72" s="1"/>
    </row>
    <row r="73">
      <c r="A73" s="1"/>
      <c r="B73" s="7" t="s">
        <v>99</v>
      </c>
      <c r="C73" s="43" t="str">
        <f>FNBX($C$5,"inventory","FQ")</f>
        <v>#NAME?</v>
      </c>
      <c r="D73" s="43" t="str">
        <f>FNBX($C$5,"inventory","FQ-4")</f>
        <v>#NAME?</v>
      </c>
      <c r="E73" s="1"/>
      <c r="F73" s="1"/>
      <c r="G73" s="1"/>
      <c r="H73" s="1"/>
    </row>
    <row r="74">
      <c r="A74" s="1"/>
      <c r="B74" s="35" t="s">
        <v>100</v>
      </c>
      <c r="C74" s="43" t="str">
        <f>FNBX($C$5,"goodwill_intangibles","FQ")</f>
        <v>#NAME?</v>
      </c>
      <c r="D74" s="43" t="str">
        <f>FNBX($C$5,"goodwill_intangibles","FQ-4")</f>
        <v>#NAME?</v>
      </c>
      <c r="E74" s="1"/>
      <c r="F74" s="1"/>
      <c r="G74" s="1"/>
      <c r="H74" s="1"/>
    </row>
    <row r="75">
      <c r="A75" s="1"/>
      <c r="B75" s="35" t="s">
        <v>101</v>
      </c>
      <c r="C75" s="43" t="str">
        <f>FNBX($C$5,"assets_cur","FQ")</f>
        <v>#NAME?</v>
      </c>
      <c r="D75" s="43" t="str">
        <f>FNBX($C$5,"assets_cur","FQ-4")</f>
        <v>#NAME?</v>
      </c>
      <c r="E75" s="1"/>
      <c r="F75" s="1"/>
      <c r="G75" s="1"/>
      <c r="H75" s="1"/>
    </row>
    <row r="76">
      <c r="A76" s="1"/>
      <c r="B76" s="35" t="s">
        <v>102</v>
      </c>
      <c r="C76" s="43" t="str">
        <f>FNBX($C$5,"assets","FQ")</f>
        <v>#NAME?</v>
      </c>
      <c r="D76" s="43" t="str">
        <f>FNBX($C$5,"assets","FQ-4")</f>
        <v>#NAME?</v>
      </c>
      <c r="E76" s="1"/>
      <c r="F76" s="1"/>
      <c r="G76" s="1"/>
      <c r="H76" s="1"/>
    </row>
    <row r="77">
      <c r="A77" s="1"/>
      <c r="B77" s="7" t="s">
        <v>103</v>
      </c>
      <c r="C77" s="43" t="str">
        <f>FNBX($C$5,"ap","FQ")</f>
        <v>#NAME?</v>
      </c>
      <c r="D77" s="43" t="str">
        <f>FNBX($C$5,"ap","FQ-4")</f>
        <v>#NAME?</v>
      </c>
      <c r="E77" s="1"/>
      <c r="F77" s="1"/>
      <c r="G77" s="1"/>
      <c r="H77" s="1"/>
    </row>
    <row r="78">
      <c r="A78" s="1"/>
      <c r="B78" s="35" t="s">
        <v>104</v>
      </c>
      <c r="C78" s="43" t="str">
        <f>FNBX($C$5,"debt_and_capital_lease_cur","FQ")</f>
        <v>#NAME?</v>
      </c>
      <c r="D78" s="43" t="str">
        <f>FNBX($C$5,"debt_and_capital_lease_cur","FQ-4")</f>
        <v>#NAME?</v>
      </c>
      <c r="E78" s="1"/>
      <c r="F78" s="1"/>
      <c r="G78" s="1"/>
      <c r="H78" s="1"/>
    </row>
    <row r="79">
      <c r="A79" s="1"/>
      <c r="B79" s="35" t="s">
        <v>105</v>
      </c>
      <c r="C79" s="43" t="str">
        <f>FNBX($C$5,"debt_lt","FQ")</f>
        <v>#NAME?</v>
      </c>
      <c r="D79" s="43" t="str">
        <f>FNBX($C$5,"debt_lt","FQ-4")</f>
        <v>#NAME?</v>
      </c>
      <c r="E79" s="1"/>
      <c r="F79" s="1"/>
      <c r="G79" s="1"/>
      <c r="H79" s="1"/>
    </row>
    <row r="80">
      <c r="A80" s="1"/>
      <c r="B80" s="35" t="s">
        <v>106</v>
      </c>
      <c r="C80" s="43" t="str">
        <f>FNBX($C$5,"liabilities_cur","FQ")</f>
        <v>#NAME?</v>
      </c>
      <c r="D80" s="43" t="str">
        <f>FNBX($C$5,"liabilities_cur","FQ-4")</f>
        <v>#NAME?</v>
      </c>
      <c r="E80" s="1"/>
      <c r="F80" s="1"/>
      <c r="G80" s="1"/>
      <c r="H80" s="1"/>
    </row>
    <row r="81">
      <c r="A81" s="1"/>
      <c r="B81" s="35" t="s">
        <v>107</v>
      </c>
      <c r="C81" s="43" t="str">
        <f>FNBX($C$5,"liabilities","FQ")</f>
        <v>#NAME?</v>
      </c>
      <c r="D81" s="43" t="str">
        <f>FNBX($C$5,"liabilities","FQ-4")</f>
        <v>#NAME?</v>
      </c>
      <c r="E81" s="1"/>
      <c r="F81" s="1"/>
      <c r="G81" s="1"/>
      <c r="H81" s="1"/>
    </row>
    <row r="82">
      <c r="A82" s="1"/>
      <c r="B82" s="35" t="s">
        <v>108</v>
      </c>
      <c r="C82" s="43" t="str">
        <f>FNBX($C$5,"equity_common","FQ")</f>
        <v>#NAME?</v>
      </c>
      <c r="D82" s="43" t="str">
        <f>FNBX($C$5,"equity_common","FQ-4")</f>
        <v>#NAME?</v>
      </c>
      <c r="E82" s="1"/>
      <c r="F82" s="1"/>
      <c r="G82" s="1"/>
      <c r="H82" s="1"/>
    </row>
    <row r="83">
      <c r="A83" s="1"/>
      <c r="B83" s="35"/>
      <c r="C83" s="18"/>
      <c r="D83" s="18"/>
      <c r="E83" s="1"/>
      <c r="F83" s="1"/>
      <c r="G83" s="1"/>
      <c r="H83" s="1"/>
    </row>
    <row r="84">
      <c r="A84" s="1"/>
      <c r="B84" s="35" t="s">
        <v>109</v>
      </c>
      <c r="C84" s="43" t="str">
        <f>FNBX($C$5,"marketcap")</f>
        <v>#NAME?</v>
      </c>
      <c r="D84" s="18"/>
      <c r="E84" s="1"/>
      <c r="F84" s="1"/>
      <c r="G84" s="1"/>
      <c r="H84" s="1"/>
    </row>
    <row r="85">
      <c r="A85" s="1"/>
      <c r="B85" s="18"/>
      <c r="C85" s="18"/>
      <c r="D85" s="18"/>
      <c r="E85" s="1"/>
      <c r="F85" s="1"/>
      <c r="G85" s="1"/>
      <c r="H85" s="1"/>
    </row>
    <row r="86">
      <c r="A86" s="1"/>
      <c r="B86" s="1"/>
      <c r="C86" s="1"/>
      <c r="D86" s="1"/>
      <c r="E86" s="1"/>
      <c r="F86" s="1"/>
      <c r="G86" s="1"/>
      <c r="H86" s="1"/>
    </row>
    <row r="87">
      <c r="A87" s="1"/>
      <c r="B87" s="9" t="s">
        <v>63</v>
      </c>
      <c r="C87" s="1"/>
      <c r="D87" s="1"/>
      <c r="E87" s="1"/>
      <c r="F87" s="1"/>
      <c r="G87" s="1"/>
      <c r="H87" s="1"/>
    </row>
    <row r="88">
      <c r="A88" s="1"/>
      <c r="B88" s="10" t="s">
        <v>64</v>
      </c>
      <c r="C88" s="1"/>
      <c r="D88" s="1"/>
      <c r="E88" s="1"/>
      <c r="F88" s="1"/>
      <c r="G88" s="1"/>
      <c r="H88" s="1"/>
    </row>
    <row r="89">
      <c r="A89" s="1"/>
      <c r="B89" s="1"/>
      <c r="C89" s="1"/>
      <c r="D89" s="1"/>
      <c r="E89" s="1"/>
      <c r="F89" s="1"/>
      <c r="G89" s="1"/>
      <c r="H89" s="1"/>
    </row>
    <row r="90">
      <c r="A90" s="1"/>
      <c r="B90" s="1"/>
      <c r="C90" s="1"/>
      <c r="D90" s="1"/>
      <c r="E90" s="1"/>
      <c r="F90" s="1"/>
      <c r="G90" s="1"/>
      <c r="H90" s="1"/>
    </row>
  </sheetData>
  <mergeCells count="2">
    <mergeCell ref="B2:E2"/>
    <mergeCell ref="B3:E3"/>
  </mergeCells>
  <hyperlinks>
    <hyperlink r:id="rId1" ref="G5"/>
    <hyperlink r:id="rId2" ref="B88"/>
  </hyperlinks>
  <drawing r:id="rId3"/>
</worksheet>
</file>