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xcel Files\Misc. Sent Files\"/>
    </mc:Choice>
  </mc:AlternateContent>
  <xr:revisionPtr revIDLastSave="0" documentId="13_ncr:1_{1E5FD749-AF5A-4D0A-9D7C-17A6825994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25_Central Supported Data" sheetId="14" r:id="rId1"/>
  </sheets>
  <definedNames>
    <definedName name="_xlnm.Print_Area" localSheetId="0">'FY25_Central Supported Data'!$A$1:$W$209</definedName>
    <definedName name="_xlnm.Print_Titles" localSheetId="0">'FY25_Central Supported Data'!$A:$B,'FY25_Central Supported Data'!$1:$8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7" i="14" l="1"/>
  <c r="V202" i="14" l="1"/>
  <c r="U83" i="14" l="1"/>
  <c r="S97" i="14" l="1"/>
  <c r="V97" i="14" s="1"/>
  <c r="S63" i="14"/>
  <c r="V63" i="14" s="1"/>
  <c r="S51" i="14"/>
  <c r="V51" i="14" s="1"/>
  <c r="S40" i="14"/>
  <c r="S32" i="14"/>
  <c r="V32" i="14" s="1"/>
  <c r="V187" i="14"/>
  <c r="V132" i="14" l="1"/>
  <c r="V131" i="14"/>
  <c r="U195" i="14"/>
  <c r="V195" i="14" s="1"/>
  <c r="V194" i="14"/>
  <c r="V44" i="14" l="1"/>
  <c r="V83" i="14"/>
  <c r="T208" i="14"/>
  <c r="S184" i="14"/>
  <c r="U208" i="14" l="1"/>
  <c r="R208" i="14"/>
  <c r="O208" i="14"/>
  <c r="N208" i="14"/>
  <c r="L208" i="14"/>
  <c r="K208" i="14"/>
  <c r="E208" i="14"/>
  <c r="D208" i="14"/>
  <c r="C208" i="14"/>
  <c r="V206" i="14"/>
  <c r="W205" i="14" s="1"/>
  <c r="V203" i="14"/>
  <c r="G201" i="14"/>
  <c r="V201" i="14" s="1"/>
  <c r="V198" i="14"/>
  <c r="W197" i="14" s="1"/>
  <c r="V193" i="14"/>
  <c r="V192" i="14"/>
  <c r="V191" i="14"/>
  <c r="V190" i="14"/>
  <c r="V186" i="14"/>
  <c r="V185" i="14"/>
  <c r="V184" i="14"/>
  <c r="V183" i="14"/>
  <c r="V182" i="14"/>
  <c r="V181" i="14"/>
  <c r="P180" i="14"/>
  <c r="P208" i="14" s="1"/>
  <c r="V179" i="14"/>
  <c r="V178" i="14"/>
  <c r="V177" i="14"/>
  <c r="V176" i="14"/>
  <c r="J175" i="14"/>
  <c r="V175" i="14" s="1"/>
  <c r="V174" i="14"/>
  <c r="V173" i="14"/>
  <c r="V172" i="14"/>
  <c r="H171" i="14"/>
  <c r="V171" i="14" s="1"/>
  <c r="V170" i="14"/>
  <c r="H169" i="14"/>
  <c r="V169" i="14" s="1"/>
  <c r="G168" i="14"/>
  <c r="V168" i="14" s="1"/>
  <c r="H167" i="14"/>
  <c r="V167" i="14" s="1"/>
  <c r="H166" i="14"/>
  <c r="V166" i="14" s="1"/>
  <c r="V165" i="14"/>
  <c r="H164" i="14"/>
  <c r="V164" i="14" s="1"/>
  <c r="G163" i="14"/>
  <c r="V163" i="14" s="1"/>
  <c r="G162" i="14"/>
  <c r="V162" i="14" s="1"/>
  <c r="G161" i="14"/>
  <c r="V161" i="14" s="1"/>
  <c r="G160" i="14"/>
  <c r="V160" i="14" s="1"/>
  <c r="G159" i="14"/>
  <c r="V159" i="14" s="1"/>
  <c r="G158" i="14"/>
  <c r="V158" i="14" s="1"/>
  <c r="V156" i="14"/>
  <c r="V155" i="14"/>
  <c r="V154" i="14"/>
  <c r="V153" i="14"/>
  <c r="V147" i="14"/>
  <c r="W146" i="14" s="1"/>
  <c r="V143" i="14"/>
  <c r="V142" i="14"/>
  <c r="V141" i="14"/>
  <c r="V140" i="14"/>
  <c r="V139" i="14"/>
  <c r="G138" i="14"/>
  <c r="V138" i="14" s="1"/>
  <c r="G137" i="14"/>
  <c r="V137" i="14" s="1"/>
  <c r="G136" i="14"/>
  <c r="V136" i="14" s="1"/>
  <c r="F135" i="14"/>
  <c r="V135" i="14" s="1"/>
  <c r="V129" i="14"/>
  <c r="H128" i="14"/>
  <c r="V128" i="14" s="1"/>
  <c r="G127" i="14"/>
  <c r="V127" i="14" s="1"/>
  <c r="G126" i="14"/>
  <c r="V126" i="14" s="1"/>
  <c r="F125" i="14"/>
  <c r="V125" i="14" s="1"/>
  <c r="V121" i="14"/>
  <c r="V120" i="14"/>
  <c r="V119" i="14"/>
  <c r="G118" i="14"/>
  <c r="V118" i="14" s="1"/>
  <c r="F117" i="14"/>
  <c r="V117" i="14" s="1"/>
  <c r="F113" i="14"/>
  <c r="V110" i="14"/>
  <c r="W109" i="14" s="1"/>
  <c r="V106" i="14"/>
  <c r="H105" i="14"/>
  <c r="V105" i="14" s="1"/>
  <c r="H104" i="14"/>
  <c r="V104" i="14" s="1"/>
  <c r="J100" i="14"/>
  <c r="I100" i="14"/>
  <c r="Q96" i="14"/>
  <c r="V96" i="14" s="1"/>
  <c r="V95" i="14"/>
  <c r="V94" i="14"/>
  <c r="V93" i="14"/>
  <c r="V92" i="14"/>
  <c r="V91" i="14"/>
  <c r="H87" i="14"/>
  <c r="V87" i="14" s="1"/>
  <c r="H86" i="14"/>
  <c r="V86" i="14" s="1"/>
  <c r="M82" i="14"/>
  <c r="V82" i="14" s="1"/>
  <c r="V81" i="14"/>
  <c r="V80" i="14"/>
  <c r="G79" i="14"/>
  <c r="V79" i="14" s="1"/>
  <c r="V75" i="14"/>
  <c r="W74" i="14" s="1"/>
  <c r="V71" i="14"/>
  <c r="V70" i="14"/>
  <c r="J69" i="14"/>
  <c r="I69" i="14"/>
  <c r="G68" i="14"/>
  <c r="V68" i="14" s="1"/>
  <c r="F67" i="14"/>
  <c r="V67" i="14" s="1"/>
  <c r="V66" i="14"/>
  <c r="V62" i="14"/>
  <c r="G61" i="14"/>
  <c r="V61" i="14" s="1"/>
  <c r="G60" i="14"/>
  <c r="V60" i="14" s="1"/>
  <c r="V56" i="14"/>
  <c r="V55" i="14"/>
  <c r="V54" i="14"/>
  <c r="G50" i="14"/>
  <c r="V50" i="14" s="1"/>
  <c r="G49" i="14"/>
  <c r="V49" i="14" s="1"/>
  <c r="G48" i="14"/>
  <c r="V48" i="14" s="1"/>
  <c r="G47" i="14"/>
  <c r="V47" i="14" s="1"/>
  <c r="G43" i="14"/>
  <c r="V40" i="14"/>
  <c r="W39" i="14" s="1"/>
  <c r="V31" i="14"/>
  <c r="W30" i="14" s="1"/>
  <c r="V28" i="14"/>
  <c r="V27" i="14"/>
  <c r="V26" i="14"/>
  <c r="V25" i="14"/>
  <c r="V24" i="14"/>
  <c r="V20" i="14"/>
  <c r="V19" i="14"/>
  <c r="F15" i="14"/>
  <c r="H11" i="14"/>
  <c r="V11" i="14" s="1"/>
  <c r="W10" i="14" s="1"/>
  <c r="W53" i="14" l="1"/>
  <c r="W124" i="14"/>
  <c r="W189" i="14"/>
  <c r="W78" i="14"/>
  <c r="V180" i="14"/>
  <c r="W150" i="14" s="1"/>
  <c r="W116" i="14"/>
  <c r="M208" i="14"/>
  <c r="V100" i="14"/>
  <c r="W99" i="14" s="1"/>
  <c r="W200" i="14"/>
  <c r="W18" i="14"/>
  <c r="J208" i="14"/>
  <c r="W23" i="14"/>
  <c r="W90" i="14"/>
  <c r="W134" i="14"/>
  <c r="H208" i="14"/>
  <c r="V15" i="14"/>
  <c r="W14" i="14" s="1"/>
  <c r="F208" i="14"/>
  <c r="I208" i="14"/>
  <c r="G208" i="14"/>
  <c r="W59" i="14"/>
  <c r="W46" i="14"/>
  <c r="W85" i="14"/>
  <c r="W103" i="14"/>
  <c r="V69" i="14"/>
  <c r="W65" i="14" s="1"/>
  <c r="Q208" i="14"/>
  <c r="V43" i="14"/>
  <c r="W42" i="14" s="1"/>
  <c r="S208" i="14"/>
  <c r="W151" i="14" l="1"/>
  <c r="W208" i="14"/>
  <c r="V208" i="14"/>
  <c r="Y208" i="14"/>
  <c r="X208" i="14" l="1"/>
  <c r="Y209" i="14" s="1"/>
</calcChain>
</file>

<file path=xl/sharedStrings.xml><?xml version="1.0" encoding="utf-8"?>
<sst xmlns="http://schemas.openxmlformats.org/spreadsheetml/2006/main" count="326" uniqueCount="219">
  <si>
    <t>Summary of Central Supported Loans</t>
  </si>
  <si>
    <t>2001C</t>
  </si>
  <si>
    <t>State IDB</t>
  </si>
  <si>
    <t>Totals</t>
  </si>
  <si>
    <t>RESEARCH &amp; OUTREACH CENTERS (2 PROJECTS)</t>
  </si>
  <si>
    <t>BEDE HALL REPLACEMENT</t>
  </si>
  <si>
    <t>CLASSROOM IMPROVEMENTS</t>
  </si>
  <si>
    <t>UMD LAB SCIENCE BUILDING</t>
  </si>
  <si>
    <t>GENOMICS BLDG - ROCHESTER</t>
  </si>
  <si>
    <t>MORRIS SOCIAL SCIENCE BLDG</t>
  </si>
  <si>
    <t>RESEARCH &amp; OUTREACH CTRS</t>
  </si>
  <si>
    <t>UM CONTINGENCY</t>
  </si>
  <si>
    <t>Administrative Service Units</t>
  </si>
  <si>
    <t>Classroom Cost Pool</t>
  </si>
  <si>
    <t>Facilities Pool</t>
  </si>
  <si>
    <t>Contingency</t>
  </si>
  <si>
    <t>CFANS</t>
  </si>
  <si>
    <t>Subtotal - allocated direct to units and/or pools</t>
  </si>
  <si>
    <t>UMC Housing - Centennial Hall</t>
  </si>
  <si>
    <t>07 Series B</t>
  </si>
  <si>
    <t>CP</t>
  </si>
  <si>
    <t>07 Series C</t>
  </si>
  <si>
    <t xml:space="preserve">Duluth Life Science </t>
  </si>
  <si>
    <t>Share of</t>
  </si>
  <si>
    <t>Direct Allocations:</t>
  </si>
  <si>
    <t>College of Food, Agric/Nat Rsrc Sci (CFANS)</t>
  </si>
  <si>
    <t>2009C &amp; D</t>
  </si>
  <si>
    <t>Int Loans</t>
  </si>
  <si>
    <t>CEHDx</t>
  </si>
  <si>
    <t>MEDxx</t>
  </si>
  <si>
    <t>ATHLx</t>
  </si>
  <si>
    <t>Academic Health Sciences (TAHSH)</t>
  </si>
  <si>
    <t>Dentistry (DENTx)</t>
  </si>
  <si>
    <t>Education &amp; Human Development (CEHDx)</t>
  </si>
  <si>
    <t>Morris (UMMxx)</t>
  </si>
  <si>
    <t>Duluth (UMDxx)</t>
  </si>
  <si>
    <t xml:space="preserve">Crookston (UMCxx)    </t>
  </si>
  <si>
    <t>Medical School (MEDxx)</t>
  </si>
  <si>
    <t>Rochester (UMRxx)</t>
  </si>
  <si>
    <t>Athletics (ATHLx)</t>
  </si>
  <si>
    <t>Vet Med (VETMD)</t>
  </si>
  <si>
    <t>Dentx</t>
  </si>
  <si>
    <t>UP Land Property - Biomedical District</t>
  </si>
  <si>
    <t>2010C &amp; D</t>
  </si>
  <si>
    <t>2011A</t>
  </si>
  <si>
    <t>Classroom Pool</t>
  </si>
  <si>
    <t>Student Services Pool</t>
  </si>
  <si>
    <t>701 Broadway - property purchase (#1)</t>
  </si>
  <si>
    <t>2003A</t>
  </si>
  <si>
    <t>UMRxx</t>
  </si>
  <si>
    <t>UMMxx</t>
  </si>
  <si>
    <t>VETMD</t>
  </si>
  <si>
    <t>UDEBT - off the top</t>
  </si>
  <si>
    <t>AHCSH</t>
  </si>
  <si>
    <t>UMCxx</t>
  </si>
  <si>
    <t>UMDxx</t>
  </si>
  <si>
    <t>UMM/McKinstry Facility Improvements</t>
  </si>
  <si>
    <r>
      <t xml:space="preserve">523 Oak; 524-528 Ontario; 516 Ontario, plus demolition - </t>
    </r>
    <r>
      <rPr>
        <sz val="8"/>
        <rFont val="Arial"/>
        <family val="2"/>
      </rPr>
      <t>$2,000,000</t>
    </r>
  </si>
  <si>
    <t>Minnesota Extension (MNEXT)</t>
  </si>
  <si>
    <r>
      <t xml:space="preserve">Morris Sprinkler - </t>
    </r>
    <r>
      <rPr>
        <sz val="8"/>
        <rFont val="Arial"/>
        <family val="2"/>
      </rPr>
      <t>$300,000</t>
    </r>
  </si>
  <si>
    <r>
      <t xml:space="preserve">MGK Property Purchase - </t>
    </r>
    <r>
      <rPr>
        <sz val="8"/>
        <rFont val="Arial"/>
        <family val="2"/>
      </rPr>
      <t>$1,600,000</t>
    </r>
  </si>
  <si>
    <r>
      <t xml:space="preserve">MGK Demolition - </t>
    </r>
    <r>
      <rPr>
        <sz val="8"/>
        <rFont val="Arial"/>
        <family val="2"/>
      </rPr>
      <t>$726,000</t>
    </r>
  </si>
  <si>
    <r>
      <t xml:space="preserve">Riechold - </t>
    </r>
    <r>
      <rPr>
        <sz val="8"/>
        <rFont val="Arial"/>
        <family val="2"/>
      </rPr>
      <t xml:space="preserve">$7,100,000 </t>
    </r>
  </si>
  <si>
    <r>
      <t xml:space="preserve">Conagra - </t>
    </r>
    <r>
      <rPr>
        <sz val="8"/>
        <rFont val="Arial"/>
        <family val="2"/>
      </rPr>
      <t>$1,521,000</t>
    </r>
  </si>
  <si>
    <r>
      <t xml:space="preserve">Conagra Demolition - </t>
    </r>
    <r>
      <rPr>
        <sz val="8"/>
        <rFont val="Arial"/>
        <family val="2"/>
      </rPr>
      <t>$2,800,000</t>
    </r>
  </si>
  <si>
    <r>
      <t xml:space="preserve">UTEC East Block [Ladder-Daily] - </t>
    </r>
    <r>
      <rPr>
        <sz val="8"/>
        <rFont val="Arial"/>
        <family val="2"/>
      </rPr>
      <t>$4,200,000</t>
    </r>
  </si>
  <si>
    <r>
      <t xml:space="preserve">Oak &amp; Fulton Land Purchases - </t>
    </r>
    <r>
      <rPr>
        <sz val="8"/>
        <rFont val="Arial"/>
        <family val="2"/>
      </rPr>
      <t>$1,640,321</t>
    </r>
  </si>
  <si>
    <r>
      <t xml:space="preserve">Extinguish UP Easements - </t>
    </r>
    <r>
      <rPr>
        <sz val="8"/>
        <rFont val="Arial"/>
        <family val="2"/>
      </rPr>
      <t>$1,500,000</t>
    </r>
  </si>
  <si>
    <r>
      <t xml:space="preserve">East Gateway District Improvements - </t>
    </r>
    <r>
      <rPr>
        <sz val="8"/>
        <rFont val="Arial"/>
        <family val="2"/>
      </rPr>
      <t>$7,000,000</t>
    </r>
  </si>
  <si>
    <r>
      <t>Northside - shopping Center - Land Purchase -</t>
    </r>
    <r>
      <rPr>
        <sz val="8"/>
        <rFont val="Arial"/>
        <family val="2"/>
      </rPr>
      <t>$1,200,000</t>
    </r>
  </si>
  <si>
    <t>Roof/windows (Jackson Hall)</t>
  </si>
  <si>
    <r>
      <t xml:space="preserve">Vet Diagnostics Avian Virus BSL-3 Lab - </t>
    </r>
    <r>
      <rPr>
        <sz val="8"/>
        <rFont val="Arial"/>
        <family val="2"/>
      </rPr>
      <t>$2,114,755 unit share</t>
    </r>
  </si>
  <si>
    <t>MNTXT</t>
  </si>
  <si>
    <r>
      <t xml:space="preserve">East Gateway District Improvements - </t>
    </r>
    <r>
      <rPr>
        <sz val="8"/>
        <rFont val="Arial"/>
        <family val="2"/>
      </rPr>
      <t>$2,864,953</t>
    </r>
  </si>
  <si>
    <r>
      <t>East Gateway District Improvements -</t>
    </r>
    <r>
      <rPr>
        <sz val="8"/>
        <rFont val="Arial"/>
        <family val="2"/>
      </rPr>
      <t xml:space="preserve"> $8,600,000</t>
    </r>
  </si>
  <si>
    <r>
      <t xml:space="preserve">UMD Labovitz School of Business &amp; Econ - </t>
    </r>
    <r>
      <rPr>
        <sz val="8"/>
        <rFont val="Arial"/>
        <family val="2"/>
      </rPr>
      <t>$3,833,000</t>
    </r>
  </si>
  <si>
    <r>
      <t xml:space="preserve">WCROC Admin Bldg Remodel - </t>
    </r>
    <r>
      <rPr>
        <sz val="8"/>
        <rFont val="Arial"/>
        <family val="2"/>
      </rPr>
      <t>$1,100,000 - (75%)</t>
    </r>
  </si>
  <si>
    <r>
      <t xml:space="preserve">WCROC Admin Bldg Remodel - </t>
    </r>
    <r>
      <rPr>
        <sz val="8"/>
        <rFont val="Arial"/>
        <family val="2"/>
      </rPr>
      <t>$1,100,000 - (25%)</t>
    </r>
  </si>
  <si>
    <r>
      <t xml:space="preserve">Community Service Gateway Center - </t>
    </r>
    <r>
      <rPr>
        <sz val="8"/>
        <rFont val="Arial"/>
        <family val="2"/>
      </rPr>
      <t>Morris - $2,500,000</t>
    </r>
  </si>
  <si>
    <r>
      <t xml:space="preserve">Landcare Building - </t>
    </r>
    <r>
      <rPr>
        <sz val="8"/>
        <rFont val="Arial"/>
        <family val="2"/>
      </rPr>
      <t>$5,000,000</t>
    </r>
  </si>
  <si>
    <r>
      <t xml:space="preserve">2609-13 4th St SE </t>
    </r>
    <r>
      <rPr>
        <sz val="8"/>
        <rFont val="Arial"/>
        <family val="2"/>
      </rPr>
      <t>(Landcare Property Purchase) - $1,400,000</t>
    </r>
  </si>
  <si>
    <t>Weisman Art Museum</t>
  </si>
  <si>
    <t>Weisman Museum</t>
  </si>
  <si>
    <t>1701 University - Classroom Building purchase</t>
  </si>
  <si>
    <r>
      <t xml:space="preserve">Morris Sprinkler - </t>
    </r>
    <r>
      <rPr>
        <sz val="8"/>
        <rFont val="Arial"/>
        <family val="2"/>
      </rPr>
      <t>$300,000 unit share</t>
    </r>
  </si>
  <si>
    <r>
      <t xml:space="preserve">Morris BioMass/District Heating - </t>
    </r>
    <r>
      <rPr>
        <sz val="8"/>
        <rFont val="Arial"/>
        <family val="2"/>
      </rPr>
      <t>$1,000,000</t>
    </r>
  </si>
  <si>
    <t>FY13</t>
  </si>
  <si>
    <t>2011D</t>
  </si>
  <si>
    <t>2010B</t>
  </si>
  <si>
    <t>2011C</t>
  </si>
  <si>
    <t>617 Broadway - property purchase (#2)</t>
  </si>
  <si>
    <t>518 Ontario purchase &amp; demolition</t>
  </si>
  <si>
    <r>
      <t xml:space="preserve">Northrop Exterior Stabilization &amp; Code Upgrades - </t>
    </r>
    <r>
      <rPr>
        <sz val="8"/>
        <rFont val="Arial"/>
        <family val="2"/>
      </rPr>
      <t>$5,215,482 - early renovation</t>
    </r>
  </si>
  <si>
    <t>724 First Ave SW - property purchase (#3) - Oct 2012</t>
  </si>
  <si>
    <t>2013A&amp;B</t>
  </si>
  <si>
    <t>2013D</t>
  </si>
  <si>
    <t>PROPERTY PURCHASES - TO BE PD BY CENTRAL</t>
  </si>
  <si>
    <t>PROJECTS OF WHICH CENTRAL AGREED TO PAY A PORTION</t>
  </si>
  <si>
    <t>UNALLOCATED BOND PROCEEDS BEFORE 100% SPENT</t>
  </si>
  <si>
    <t>PROJECTS IN PROCESS - CHARGE TO CENTRAL UNTIL COMPLETION</t>
  </si>
  <si>
    <t>650 25th Ave SE &amp; 501 29th Ave</t>
  </si>
  <si>
    <t>Broadway property landscaping- new in FY16</t>
  </si>
  <si>
    <t>CSENG</t>
  </si>
  <si>
    <t>Physics &amp; Nanotechnology - CSENG Responsibility</t>
  </si>
  <si>
    <t>College of Science &amp; Engineering (CSENG)</t>
  </si>
  <si>
    <r>
      <t xml:space="preserve">Boat House - </t>
    </r>
    <r>
      <rPr>
        <sz val="8"/>
        <rFont val="Arial"/>
        <family val="2"/>
      </rPr>
      <t>$2,400,000</t>
    </r>
  </si>
  <si>
    <r>
      <t>AHC Classroom Improvements -</t>
    </r>
    <r>
      <rPr>
        <sz val="8"/>
        <rFont val="Arial"/>
        <family val="2"/>
      </rPr>
      <t xml:space="preserve"> $656,090</t>
    </r>
  </si>
  <si>
    <r>
      <t xml:space="preserve">PWB B-182 Simulation Center - </t>
    </r>
    <r>
      <rPr>
        <sz val="8"/>
        <rFont val="Arial"/>
        <family val="2"/>
      </rPr>
      <t>$160,700</t>
    </r>
  </si>
  <si>
    <r>
      <t xml:space="preserve">Mayo Auditorium Remodel - </t>
    </r>
    <r>
      <rPr>
        <sz val="8"/>
        <rFont val="Arial"/>
        <family val="2"/>
      </rPr>
      <t>$900,000</t>
    </r>
  </si>
  <si>
    <r>
      <t>Moos Tower ITV Classroom -</t>
    </r>
    <r>
      <rPr>
        <sz val="8"/>
        <rFont val="Arial"/>
        <family val="2"/>
      </rPr>
      <t xml:space="preserve"> $254,900</t>
    </r>
  </si>
  <si>
    <r>
      <t xml:space="preserve">Chester Park School - </t>
    </r>
    <r>
      <rPr>
        <sz val="8"/>
        <rFont val="Arial"/>
        <family val="2"/>
      </rPr>
      <t>$1,000,000</t>
    </r>
  </si>
  <si>
    <r>
      <t>UMD Griggs Field Renovation -</t>
    </r>
    <r>
      <rPr>
        <sz val="8"/>
        <rFont val="Arial"/>
        <family val="2"/>
      </rPr>
      <t xml:space="preserve"> $4,100,000</t>
    </r>
  </si>
  <si>
    <r>
      <t xml:space="preserve">Morris Wind Turbine - </t>
    </r>
    <r>
      <rPr>
        <sz val="8"/>
        <rFont val="Arial"/>
        <family val="2"/>
      </rPr>
      <t>$3,600,000</t>
    </r>
  </si>
  <si>
    <r>
      <t>Weisman Museum Addition -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 xml:space="preserve">$3,600,000 </t>
    </r>
  </si>
  <si>
    <r>
      <t xml:space="preserve">17th Ave Housing </t>
    </r>
    <r>
      <rPr>
        <sz val="8"/>
        <rFont val="Arial"/>
        <family val="2"/>
      </rPr>
      <t>(on $875,000 Central agreed to pay)</t>
    </r>
  </si>
  <si>
    <r>
      <t xml:space="preserve">Northrop Renovation Phase II - </t>
    </r>
    <r>
      <rPr>
        <sz val="8"/>
        <rFont val="Arial"/>
        <family val="2"/>
      </rPr>
      <t xml:space="preserve">added in FY13 </t>
    </r>
  </si>
  <si>
    <t xml:space="preserve">Unallocated bond proceeds </t>
  </si>
  <si>
    <t>2016A</t>
  </si>
  <si>
    <t>Series E CP</t>
  </si>
  <si>
    <t>Physics &amp; Nanotechnology - Central Portion Funded in FY17</t>
  </si>
  <si>
    <t>Physics &amp; Nanotechnology - Labs 481 &amp; 353</t>
  </si>
  <si>
    <t>UMC Wellness Center</t>
  </si>
  <si>
    <t xml:space="preserve">650-25th Ave &amp; 501-29th Ave </t>
  </si>
  <si>
    <t xml:space="preserve">Murphy Warehouse </t>
  </si>
  <si>
    <t xml:space="preserve">Block 31  </t>
  </si>
  <si>
    <t>NORTHROP RENOVATION - LEAVE IN OFF-THE-TOP</t>
  </si>
  <si>
    <t>Engineering &amp; Fisheries Lab</t>
  </si>
  <si>
    <t>2017A</t>
  </si>
  <si>
    <t>Steel Elevators &amp; Kurth Elevators</t>
  </si>
  <si>
    <t>Weisman Museum Internal Loan</t>
  </si>
  <si>
    <t>Off-the-top to UDEBT</t>
  </si>
  <si>
    <t>530.5 25th Ave SE</t>
  </si>
  <si>
    <t>301 29th Ave</t>
  </si>
  <si>
    <t>Libraries Pool</t>
  </si>
  <si>
    <t>Anderson Library Special Collections</t>
  </si>
  <si>
    <t>Wilson Library Minitex Storage</t>
  </si>
  <si>
    <t>Library pool</t>
  </si>
  <si>
    <t xml:space="preserve">Northside bldg renovations </t>
  </si>
  <si>
    <t xml:space="preserve">Less: Amts to spread out debt service over 20 years on old project </t>
  </si>
  <si>
    <t>Chemical Materials Science Bldg (CAMS)</t>
  </si>
  <si>
    <t>Long Lake Facility (Bldg)</t>
  </si>
  <si>
    <t>1014 &amp; 1018 Fulton; 614 Huron</t>
  </si>
  <si>
    <t>Biological Sciences, College of  (CBSxx)</t>
  </si>
  <si>
    <t>Moos Tower -11th, 13th &amp; 14th Floor Renovations</t>
  </si>
  <si>
    <t>PWB 7th Floor Relocation of Golzarian Lab</t>
  </si>
  <si>
    <t xml:space="preserve">PWB-Repurpose first floor Phase 2A,1,2 &amp; 3 </t>
  </si>
  <si>
    <t xml:space="preserve"> FY07</t>
  </si>
  <si>
    <t xml:space="preserve"> FY08</t>
  </si>
  <si>
    <t xml:space="preserve"> FY09</t>
  </si>
  <si>
    <t xml:space="preserve"> FY10</t>
  </si>
  <si>
    <t xml:space="preserve"> FY11</t>
  </si>
  <si>
    <t>FY12</t>
  </si>
  <si>
    <t xml:space="preserve"> FY14</t>
  </si>
  <si>
    <t xml:space="preserve"> FY16</t>
  </si>
  <si>
    <t xml:space="preserve"> FY18</t>
  </si>
  <si>
    <t xml:space="preserve">PWB 1-LCRU Clinic Relocation </t>
  </si>
  <si>
    <t>CBSxx</t>
  </si>
  <si>
    <t xml:space="preserve"> FY19</t>
  </si>
  <si>
    <t>FY21</t>
  </si>
  <si>
    <t>UMM Blakely</t>
  </si>
  <si>
    <t>UMC Owen</t>
  </si>
  <si>
    <t>UMC Dowell</t>
  </si>
  <si>
    <t xml:space="preserve">Debt Service By Building </t>
  </si>
  <si>
    <t>Plant Growth Research Facility for CBS Conservatory (Bldg 369)</t>
  </si>
  <si>
    <t>UMM Humanities Bldg</t>
  </si>
  <si>
    <t>FY22</t>
  </si>
  <si>
    <t>2019C</t>
  </si>
  <si>
    <t>2019A</t>
  </si>
  <si>
    <t>2020B</t>
  </si>
  <si>
    <t>2020A</t>
  </si>
  <si>
    <t>Erie Street purchases, including 414 Erie</t>
  </si>
  <si>
    <t>Classic City Apartments (1015 Essex)</t>
  </si>
  <si>
    <t>2829 University</t>
  </si>
  <si>
    <t>College of Liberal Arts (CLAxx)</t>
  </si>
  <si>
    <t>UMD deduction as agreed to</t>
  </si>
  <si>
    <t>PWB Library Stacks</t>
  </si>
  <si>
    <t>CLAxx</t>
  </si>
  <si>
    <t>CP Issued</t>
  </si>
  <si>
    <t>(in process)</t>
  </si>
  <si>
    <t>Off-Site Collection Facility-Design completed by FY23</t>
  </si>
  <si>
    <t>PWB Resident On-call Rooms-placed in service in FY21</t>
  </si>
  <si>
    <t>Bee Lab (100% CFANS)</t>
  </si>
  <si>
    <t xml:space="preserve">FY24 ALLOCATIONS  </t>
  </si>
  <si>
    <t>Located at Rochester - change effective FY24</t>
  </si>
  <si>
    <t>Located in Twin Cities</t>
  </si>
  <si>
    <t>All items moved to Off-the-Top in FY24</t>
  </si>
  <si>
    <t>Off-Site Collection Facility-Construction-to be placed in service in May 2024</t>
  </si>
  <si>
    <r>
      <t xml:space="preserve">CMRR MRI </t>
    </r>
    <r>
      <rPr>
        <sz val="8"/>
        <rFont val="Arial"/>
        <family val="2"/>
      </rPr>
      <t>(specific to Med School)</t>
    </r>
  </si>
  <si>
    <r>
      <t xml:space="preserve">CDC Lab School </t>
    </r>
    <r>
      <rPr>
        <sz val="8"/>
        <rFont val="Arial"/>
        <family val="2"/>
      </rPr>
      <t>($10M - letter from Kaler)</t>
    </r>
  </si>
  <si>
    <r>
      <t xml:space="preserve">Education Sciences - </t>
    </r>
    <r>
      <rPr>
        <sz val="8"/>
        <rFont val="Arial"/>
        <family val="2"/>
      </rPr>
      <t>$5,239,000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(Central allocation made in 2008)</t>
    </r>
  </si>
  <si>
    <t>Murphy Hall-Journalism Media Lab - to be placed in service in FY23</t>
  </si>
  <si>
    <t>Microbial Cell Production Facility - FY24 projected costs</t>
  </si>
  <si>
    <t>Institute of Child Development - Bldg 019_placed in service &amp; renamed Campbell Hall; 10.7.22</t>
  </si>
  <si>
    <t>51% equity interest in 2407 LLC (Operating loan)</t>
  </si>
  <si>
    <r>
      <t xml:space="preserve">Plant Pathology - </t>
    </r>
    <r>
      <rPr>
        <sz val="8"/>
        <rFont val="Arial"/>
        <family val="2"/>
      </rPr>
      <t xml:space="preserve">$801,000 </t>
    </r>
    <r>
      <rPr>
        <b/>
        <sz val="8"/>
        <rFont val="Arial"/>
        <family val="2"/>
      </rPr>
      <t>unit share</t>
    </r>
  </si>
  <si>
    <r>
      <t xml:space="preserve">Education Sciences - </t>
    </r>
    <r>
      <rPr>
        <sz val="8"/>
        <rFont val="Arial"/>
        <family val="2"/>
      </rPr>
      <t xml:space="preserve">$2,000,000 </t>
    </r>
    <r>
      <rPr>
        <b/>
        <sz val="8"/>
        <rFont val="Arial"/>
        <family val="2"/>
      </rPr>
      <t>unit share</t>
    </r>
  </si>
  <si>
    <r>
      <t xml:space="preserve">Moos 4th Floor Dentistry Simulation Lab Renovation - </t>
    </r>
    <r>
      <rPr>
        <sz val="8"/>
        <rFont val="Arial"/>
        <family val="2"/>
      </rPr>
      <t xml:space="preserve">$3,200,000 - </t>
    </r>
    <r>
      <rPr>
        <b/>
        <sz val="8"/>
        <rFont val="Arial"/>
        <family val="2"/>
      </rPr>
      <t>unit share</t>
    </r>
  </si>
  <si>
    <r>
      <t xml:space="preserve">Kolthoff - </t>
    </r>
    <r>
      <rPr>
        <sz val="8"/>
        <rFont val="Arial"/>
        <family val="2"/>
      </rPr>
      <t xml:space="preserve">$2,343,000 </t>
    </r>
    <r>
      <rPr>
        <b/>
        <sz val="8"/>
        <rFont val="Arial"/>
        <family val="2"/>
      </rPr>
      <t>unit share</t>
    </r>
  </si>
  <si>
    <r>
      <t xml:space="preserve">CBS 3rd &amp; 4th floor renovation </t>
    </r>
    <r>
      <rPr>
        <b/>
        <sz val="8"/>
        <rFont val="Arial"/>
        <family val="2"/>
      </rPr>
      <t>(specific to CBS)</t>
    </r>
  </si>
  <si>
    <r>
      <t xml:space="preserve">CBS HVAC </t>
    </r>
    <r>
      <rPr>
        <b/>
        <sz val="8"/>
        <rFont val="Arial"/>
        <family val="2"/>
      </rPr>
      <t>(specific to 3rd &amp; 4th floor)</t>
    </r>
  </si>
  <si>
    <r>
      <t xml:space="preserve">Equine Facility - </t>
    </r>
    <r>
      <rPr>
        <sz val="8"/>
        <rFont val="Arial"/>
        <family val="2"/>
      </rPr>
      <t xml:space="preserve">$11,500,000 </t>
    </r>
    <r>
      <rPr>
        <b/>
        <sz val="8"/>
        <rFont val="Arial"/>
        <family val="2"/>
      </rPr>
      <t>unit share</t>
    </r>
  </si>
  <si>
    <t>Series 2022</t>
  </si>
  <si>
    <t xml:space="preserve">cjf; 1/6/23; Updated for Change in MIDB Distribution </t>
  </si>
  <si>
    <t>MIDB</t>
  </si>
  <si>
    <t>Research Pool</t>
  </si>
  <si>
    <t>Research pool</t>
  </si>
  <si>
    <t>Technology Pool</t>
  </si>
  <si>
    <t>Technology pool</t>
  </si>
  <si>
    <t>ACHSH</t>
  </si>
  <si>
    <t>Administrative pool</t>
  </si>
  <si>
    <t>Detert; 11/14/23</t>
  </si>
  <si>
    <r>
      <t xml:space="preserve">Moos 4th Floor Dentistry Simulation Lab Renovation - </t>
    </r>
    <r>
      <rPr>
        <sz val="8"/>
        <rFont val="Arial"/>
        <family val="2"/>
      </rPr>
      <t>$3,000,000</t>
    </r>
    <r>
      <rPr>
        <sz val="10"/>
        <rFont val="Arial"/>
        <family val="2"/>
      </rPr>
      <t xml:space="preserve"> (Central provided allocation in 2008)</t>
    </r>
  </si>
  <si>
    <t>Fraser Hall Chem Undergrad Teaching Facility</t>
  </si>
  <si>
    <t>Women's Gymnastics Facility</t>
  </si>
  <si>
    <t>Tissue Digester</t>
  </si>
  <si>
    <t>Advance Operation Center</t>
  </si>
  <si>
    <t>UMD Residence Dining Center Production Kitchen</t>
  </si>
  <si>
    <t>Mircobial Cell Production Facility (Biotechnology Resource Center Portion)</t>
  </si>
  <si>
    <t>FAARM Project - Properties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</si>
</sst>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00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trike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b/>
      <i/>
      <sz val="8"/>
      <name val="Arial"/>
      <family val="2"/>
    </font>
    <font>
      <b/>
      <u/>
      <sz val="9"/>
      <name val="Calibri"/>
      <family val="2"/>
      <scheme val="minor"/>
    </font>
    <font>
      <b/>
      <u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9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4"/>
      <name val="Arial"/>
      <family val="2"/>
    </font>
    <font>
      <b/>
      <sz val="9"/>
      <name val="Calibri"/>
      <family val="2"/>
      <scheme val="minor"/>
    </font>
    <font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0" borderId="0" xfId="0" applyNumberFormat="1" applyFont="1"/>
    <xf numFmtId="40" fontId="4" fillId="0" borderId="0" xfId="0" applyNumberFormat="1" applyFont="1"/>
    <xf numFmtId="3" fontId="5" fillId="0" borderId="0" xfId="0" applyNumberFormat="1" applyFont="1"/>
    <xf numFmtId="38" fontId="4" fillId="0" borderId="0" xfId="0" applyNumberFormat="1" applyFont="1"/>
    <xf numFmtId="3" fontId="4" fillId="0" borderId="1" xfId="0" applyNumberFormat="1" applyFont="1" applyBorder="1"/>
    <xf numFmtId="3" fontId="8" fillId="0" borderId="0" xfId="0" applyNumberFormat="1" applyFont="1"/>
    <xf numFmtId="3" fontId="6" fillId="0" borderId="0" xfId="0" applyNumberFormat="1" applyFont="1"/>
    <xf numFmtId="3" fontId="1" fillId="0" borderId="0" xfId="0" applyNumberFormat="1" applyFont="1"/>
    <xf numFmtId="3" fontId="7" fillId="0" borderId="0" xfId="0" applyNumberFormat="1" applyFont="1"/>
    <xf numFmtId="3" fontId="3" fillId="0" borderId="0" xfId="0" applyNumberFormat="1" applyFont="1"/>
    <xf numFmtId="0" fontId="1" fillId="0" borderId="0" xfId="0" applyFont="1"/>
    <xf numFmtId="40" fontId="1" fillId="0" borderId="0" xfId="0" applyNumberFormat="1" applyFont="1"/>
    <xf numFmtId="38" fontId="1" fillId="0" borderId="0" xfId="0" applyNumberFormat="1" applyFont="1"/>
    <xf numFmtId="38" fontId="5" fillId="0" borderId="0" xfId="0" applyNumberFormat="1" applyFont="1"/>
    <xf numFmtId="3" fontId="12" fillId="0" borderId="0" xfId="0" applyNumberFormat="1" applyFont="1"/>
    <xf numFmtId="3" fontId="11" fillId="0" borderId="0" xfId="0" applyNumberFormat="1" applyFont="1" applyAlignment="1">
      <alignment horizontal="left"/>
    </xf>
    <xf numFmtId="3" fontId="11" fillId="0" borderId="0" xfId="0" applyNumberFormat="1" applyFont="1"/>
    <xf numFmtId="38" fontId="4" fillId="0" borderId="1" xfId="0" applyNumberFormat="1" applyFont="1" applyBorder="1" applyAlignment="1">
      <alignment horizontal="center"/>
    </xf>
    <xf numFmtId="3" fontId="4" fillId="2" borderId="0" xfId="0" applyNumberFormat="1" applyFont="1" applyFill="1" applyAlignment="1">
      <alignment wrapText="1"/>
    </xf>
    <xf numFmtId="38" fontId="4" fillId="0" borderId="0" xfId="0" applyNumberFormat="1" applyFont="1" applyAlignment="1">
      <alignment horizontal="center"/>
    </xf>
    <xf numFmtId="38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wrapText="1"/>
    </xf>
    <xf numFmtId="38" fontId="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left"/>
    </xf>
    <xf numFmtId="3" fontId="15" fillId="0" borderId="0" xfId="0" applyNumberFormat="1" applyFont="1"/>
    <xf numFmtId="40" fontId="9" fillId="0" borderId="0" xfId="0" applyNumberFormat="1" applyFont="1"/>
    <xf numFmtId="38" fontId="1" fillId="0" borderId="0" xfId="1" applyNumberFormat="1" applyFont="1" applyFill="1" applyBorder="1"/>
    <xf numFmtId="38" fontId="4" fillId="2" borderId="0" xfId="0" applyNumberFormat="1" applyFont="1" applyFill="1"/>
    <xf numFmtId="38" fontId="2" fillId="0" borderId="0" xfId="0" applyNumberFormat="1" applyFont="1" applyAlignment="1">
      <alignment horizontal="right"/>
    </xf>
    <xf numFmtId="3" fontId="1" fillId="4" borderId="0" xfId="0" applyNumberFormat="1" applyFont="1" applyFill="1"/>
    <xf numFmtId="38" fontId="4" fillId="4" borderId="0" xfId="0" applyNumberFormat="1" applyFont="1" applyFill="1"/>
    <xf numFmtId="38" fontId="5" fillId="0" borderId="3" xfId="0" applyNumberFormat="1" applyFont="1" applyBorder="1"/>
    <xf numFmtId="38" fontId="5" fillId="0" borderId="2" xfId="0" applyNumberFormat="1" applyFont="1" applyBorder="1"/>
    <xf numFmtId="38" fontId="5" fillId="2" borderId="0" xfId="0" applyNumberFormat="1" applyFont="1" applyFill="1"/>
    <xf numFmtId="38" fontId="2" fillId="0" borderId="0" xfId="0" applyNumberFormat="1" applyFont="1" applyAlignment="1">
      <alignment horizontal="center"/>
    </xf>
    <xf numFmtId="38" fontId="1" fillId="0" borderId="0" xfId="1" applyNumberFormat="1" applyFont="1" applyFill="1"/>
    <xf numFmtId="38" fontId="1" fillId="0" borderId="0" xfId="0" applyNumberFormat="1" applyFont="1" applyAlignment="1">
      <alignment horizontal="center"/>
    </xf>
    <xf numFmtId="38" fontId="1" fillId="0" borderId="1" xfId="0" applyNumberFormat="1" applyFont="1" applyBorder="1" applyAlignment="1">
      <alignment horizontal="center"/>
    </xf>
    <xf numFmtId="38" fontId="2" fillId="0" borderId="1" xfId="0" applyNumberFormat="1" applyFont="1" applyBorder="1" applyAlignment="1">
      <alignment horizontal="center"/>
    </xf>
    <xf numFmtId="38" fontId="16" fillId="0" borderId="1" xfId="0" applyNumberFormat="1" applyFont="1" applyBorder="1"/>
    <xf numFmtId="38" fontId="1" fillId="0" borderId="1" xfId="1" applyNumberFormat="1" applyFont="1" applyFill="1" applyBorder="1" applyAlignment="1">
      <alignment horizontal="center"/>
    </xf>
    <xf numFmtId="3" fontId="17" fillId="0" borderId="0" xfId="0" applyNumberFormat="1" applyFont="1"/>
    <xf numFmtId="38" fontId="16" fillId="0" borderId="0" xfId="1" applyNumberFormat="1" applyFont="1" applyFill="1" applyBorder="1"/>
    <xf numFmtId="38" fontId="17" fillId="0" borderId="0" xfId="0" applyNumberFormat="1" applyFont="1"/>
    <xf numFmtId="38" fontId="16" fillId="0" borderId="0" xfId="0" applyNumberFormat="1" applyFont="1"/>
    <xf numFmtId="38" fontId="16" fillId="0" borderId="0" xfId="0" applyNumberFormat="1" applyFont="1" applyAlignment="1">
      <alignment horizontal="right"/>
    </xf>
    <xf numFmtId="0" fontId="17" fillId="0" borderId="0" xfId="0" applyFont="1"/>
    <xf numFmtId="38" fontId="17" fillId="0" borderId="0" xfId="1" applyNumberFormat="1" applyFont="1" applyFill="1" applyBorder="1"/>
    <xf numFmtId="38" fontId="17" fillId="0" borderId="0" xfId="0" applyNumberFormat="1" applyFont="1" applyAlignment="1">
      <alignment horizontal="center"/>
    </xf>
    <xf numFmtId="38" fontId="16" fillId="0" borderId="0" xfId="0" applyNumberFormat="1" applyFont="1" applyAlignment="1">
      <alignment horizontal="center"/>
    </xf>
    <xf numFmtId="38" fontId="17" fillId="0" borderId="0" xfId="0" applyNumberFormat="1" applyFont="1" applyAlignment="1">
      <alignment horizontal="right"/>
    </xf>
    <xf numFmtId="38" fontId="18" fillId="0" borderId="0" xfId="0" applyNumberFormat="1" applyFont="1" applyAlignment="1">
      <alignment horizontal="center"/>
    </xf>
    <xf numFmtId="38" fontId="17" fillId="0" borderId="0" xfId="1" applyNumberFormat="1" applyFont="1" applyFill="1" applyBorder="1" applyAlignment="1">
      <alignment horizontal="center"/>
    </xf>
    <xf numFmtId="38" fontId="17" fillId="0" borderId="1" xfId="0" applyNumberFormat="1" applyFont="1" applyBorder="1"/>
    <xf numFmtId="38" fontId="20" fillId="0" borderId="0" xfId="0" applyNumberFormat="1" applyFont="1"/>
    <xf numFmtId="38" fontId="18" fillId="0" borderId="0" xfId="0" applyNumberFormat="1" applyFont="1" applyAlignment="1">
      <alignment horizontal="right"/>
    </xf>
    <xf numFmtId="38" fontId="21" fillId="0" borderId="0" xfId="0" applyNumberFormat="1" applyFont="1"/>
    <xf numFmtId="38" fontId="18" fillId="0" borderId="0" xfId="0" applyNumberFormat="1" applyFont="1"/>
    <xf numFmtId="38" fontId="23" fillId="0" borderId="0" xfId="0" applyNumberFormat="1" applyFont="1"/>
    <xf numFmtId="38" fontId="19" fillId="0" borderId="0" xfId="0" applyNumberFormat="1" applyFont="1"/>
    <xf numFmtId="38" fontId="19" fillId="0" borderId="0" xfId="0" applyNumberFormat="1" applyFont="1" applyAlignment="1">
      <alignment horizontal="right"/>
    </xf>
    <xf numFmtId="38" fontId="22" fillId="0" borderId="0" xfId="0" applyNumberFormat="1" applyFont="1"/>
    <xf numFmtId="38" fontId="22" fillId="0" borderId="0" xfId="0" applyNumberFormat="1" applyFont="1" applyAlignment="1">
      <alignment horizontal="right"/>
    </xf>
    <xf numFmtId="164" fontId="17" fillId="0" borderId="0" xfId="0" applyNumberFormat="1" applyFont="1"/>
    <xf numFmtId="3" fontId="20" fillId="0" borderId="0" xfId="0" applyNumberFormat="1" applyFont="1" applyAlignment="1">
      <alignment horizontal="left"/>
    </xf>
    <xf numFmtId="38" fontId="16" fillId="2" borderId="0" xfId="0" applyNumberFormat="1" applyFont="1" applyFill="1"/>
    <xf numFmtId="38" fontId="17" fillId="2" borderId="0" xfId="0" applyNumberFormat="1" applyFont="1" applyFill="1"/>
    <xf numFmtId="38" fontId="17" fillId="0" borderId="1" xfId="0" applyNumberFormat="1" applyFont="1" applyBorder="1" applyAlignment="1">
      <alignment horizontal="right"/>
    </xf>
    <xf numFmtId="38" fontId="17" fillId="0" borderId="6" xfId="1" applyNumberFormat="1" applyFont="1" applyFill="1" applyBorder="1"/>
    <xf numFmtId="38" fontId="16" fillId="0" borderId="6" xfId="1" applyNumberFormat="1" applyFont="1" applyFill="1" applyBorder="1"/>
    <xf numFmtId="3" fontId="24" fillId="0" borderId="0" xfId="0" applyNumberFormat="1" applyFont="1"/>
    <xf numFmtId="40" fontId="11" fillId="0" borderId="0" xfId="0" applyNumberFormat="1" applyFont="1"/>
    <xf numFmtId="3" fontId="25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3" fontId="1" fillId="0" borderId="1" xfId="0" applyNumberFormat="1" applyFont="1" applyBorder="1"/>
    <xf numFmtId="38" fontId="26" fillId="0" borderId="1" xfId="0" applyNumberFormat="1" applyFont="1" applyBorder="1" applyAlignment="1">
      <alignment horizontal="center"/>
    </xf>
    <xf numFmtId="38" fontId="26" fillId="0" borderId="0" xfId="0" applyNumberFormat="1" applyFont="1"/>
    <xf numFmtId="38" fontId="27" fillId="0" borderId="1" xfId="0" applyNumberFormat="1" applyFont="1" applyBorder="1" applyAlignment="1">
      <alignment horizontal="center"/>
    </xf>
    <xf numFmtId="38" fontId="5" fillId="0" borderId="4" xfId="0" applyNumberFormat="1" applyFont="1" applyBorder="1"/>
    <xf numFmtId="38" fontId="4" fillId="3" borderId="0" xfId="0" applyNumberFormat="1" applyFont="1" applyFill="1"/>
    <xf numFmtId="38" fontId="13" fillId="0" borderId="4" xfId="0" applyNumberFormat="1" applyFont="1" applyBorder="1"/>
    <xf numFmtId="38" fontId="11" fillId="0" borderId="5" xfId="0" applyNumberFormat="1" applyFont="1" applyBorder="1"/>
    <xf numFmtId="38" fontId="1" fillId="5" borderId="0" xfId="0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FFFF99"/>
      <color rgb="FF99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619126</xdr:colOff>
      <xdr:row>206</xdr:row>
      <xdr:rowOff>57150</xdr:rowOff>
    </xdr:from>
    <xdr:to>
      <xdr:col>24</xdr:col>
      <xdr:colOff>0</xdr:colOff>
      <xdr:row>207</xdr:row>
      <xdr:rowOff>114300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648873B-B3CC-4CD5-83CD-73197B96A7BF}"/>
            </a:ext>
          </a:extLst>
        </xdr:cNvPr>
        <xdr:cNvCxnSpPr/>
      </xdr:nvCxnSpPr>
      <xdr:spPr>
        <a:xfrm flipH="1">
          <a:off x="23612476" y="33508950"/>
          <a:ext cx="238124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9C77-1A20-4717-8851-CCA606560805}">
  <dimension ref="A1:AK342"/>
  <sheetViews>
    <sheetView tabSelected="1" topLeftCell="A4" zoomScale="130" zoomScaleNormal="13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V9" sqref="V9"/>
    </sheetView>
  </sheetViews>
  <sheetFormatPr defaultColWidth="9.140625" defaultRowHeight="12.75" x14ac:dyDescent="0.2"/>
  <cols>
    <col min="1" max="1" width="5.140625" style="10" customWidth="1"/>
    <col min="2" max="2" width="66.5703125" style="10" customWidth="1"/>
    <col min="3" max="3" width="14.5703125" style="72" hidden="1" customWidth="1"/>
    <col min="4" max="6" width="14.5703125" style="46" hidden="1" customWidth="1"/>
    <col min="7" max="18" width="14.5703125" style="47" hidden="1" customWidth="1"/>
    <col min="19" max="21" width="14.5703125" style="48" hidden="1" customWidth="1"/>
    <col min="22" max="22" width="14.5703125" style="46" customWidth="1"/>
    <col min="23" max="23" width="13.85546875" style="46" customWidth="1"/>
    <col min="24" max="24" width="12.85546875" style="10" customWidth="1"/>
    <col min="25" max="25" width="17.85546875" style="49" customWidth="1"/>
    <col min="26" max="31" width="14.7109375" style="49" hidden="1" customWidth="1"/>
    <col min="32" max="37" width="14.7109375" style="49" customWidth="1"/>
    <col min="38" max="16384" width="9.140625" style="44"/>
  </cols>
  <sheetData>
    <row r="1" spans="1:37" x14ac:dyDescent="0.2">
      <c r="B1" s="3" t="s">
        <v>0</v>
      </c>
      <c r="C1" s="45"/>
    </row>
    <row r="2" spans="1:37" x14ac:dyDescent="0.2">
      <c r="B2" s="3" t="s">
        <v>162</v>
      </c>
      <c r="C2" s="45"/>
    </row>
    <row r="3" spans="1:37" x14ac:dyDescent="0.2">
      <c r="B3" s="3" t="s">
        <v>182</v>
      </c>
      <c r="C3" s="45"/>
    </row>
    <row r="4" spans="1:37" s="10" customFormat="1" x14ac:dyDescent="0.2">
      <c r="B4" s="10" t="s">
        <v>202</v>
      </c>
      <c r="C4" s="29"/>
      <c r="D4" s="15"/>
      <c r="E4" s="15"/>
      <c r="F4" s="15"/>
      <c r="G4" s="15"/>
      <c r="H4" s="15"/>
      <c r="I4" s="15"/>
      <c r="J4" s="15"/>
      <c r="K4" s="39"/>
      <c r="L4" s="39"/>
      <c r="M4" s="22"/>
      <c r="N4" s="39"/>
      <c r="O4" s="39"/>
      <c r="P4" s="39"/>
      <c r="Q4" s="39"/>
      <c r="R4" s="39"/>
      <c r="S4" s="23"/>
      <c r="T4" s="23"/>
      <c r="U4" s="23"/>
      <c r="V4" s="37"/>
      <c r="W4" s="15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 s="10" customFormat="1" x14ac:dyDescent="0.2">
      <c r="B5" s="10" t="s">
        <v>210</v>
      </c>
      <c r="C5" s="29"/>
      <c r="D5" s="38"/>
      <c r="E5" s="15"/>
      <c r="F5" s="15"/>
      <c r="G5" s="39" t="s">
        <v>146</v>
      </c>
      <c r="H5" s="39" t="s">
        <v>147</v>
      </c>
      <c r="I5" s="39" t="s">
        <v>148</v>
      </c>
      <c r="J5" s="39" t="s">
        <v>149</v>
      </c>
      <c r="K5" s="39" t="s">
        <v>150</v>
      </c>
      <c r="L5" s="39" t="s">
        <v>151</v>
      </c>
      <c r="M5" s="39" t="s">
        <v>86</v>
      </c>
      <c r="N5" s="39" t="s">
        <v>152</v>
      </c>
      <c r="O5" s="39" t="s">
        <v>153</v>
      </c>
      <c r="P5" s="39" t="s">
        <v>154</v>
      </c>
      <c r="Q5" s="39" t="s">
        <v>157</v>
      </c>
      <c r="R5" s="39" t="s">
        <v>158</v>
      </c>
      <c r="S5" s="39" t="s">
        <v>158</v>
      </c>
      <c r="T5" s="39" t="s">
        <v>165</v>
      </c>
      <c r="U5" s="39" t="s">
        <v>177</v>
      </c>
      <c r="V5" s="37"/>
      <c r="W5" s="15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37" s="10" customFormat="1" x14ac:dyDescent="0.2">
      <c r="C6" s="29"/>
      <c r="D6" s="39" t="s">
        <v>1</v>
      </c>
      <c r="E6" s="15"/>
      <c r="F6" s="39" t="s">
        <v>23</v>
      </c>
      <c r="G6" s="39" t="s">
        <v>19</v>
      </c>
      <c r="H6" s="39" t="s">
        <v>21</v>
      </c>
      <c r="I6" s="15"/>
      <c r="J6" s="39"/>
      <c r="K6" s="39" t="s">
        <v>88</v>
      </c>
      <c r="L6" s="39" t="s">
        <v>89</v>
      </c>
      <c r="M6" s="39"/>
      <c r="N6" s="39"/>
      <c r="O6" s="39" t="s">
        <v>118</v>
      </c>
      <c r="P6" s="39"/>
      <c r="Q6" s="39" t="s">
        <v>167</v>
      </c>
      <c r="R6" s="39" t="s">
        <v>169</v>
      </c>
      <c r="S6" s="39" t="s">
        <v>168</v>
      </c>
      <c r="T6" s="39" t="s">
        <v>201</v>
      </c>
      <c r="U6" s="39"/>
      <c r="V6" s="39"/>
      <c r="W6" s="15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s="10" customFormat="1" ht="18" x14ac:dyDescent="0.25">
      <c r="B7" s="73"/>
      <c r="C7" s="43" t="s">
        <v>27</v>
      </c>
      <c r="D7" s="40" t="s">
        <v>48</v>
      </c>
      <c r="E7" s="40" t="s">
        <v>2</v>
      </c>
      <c r="F7" s="40" t="s">
        <v>15</v>
      </c>
      <c r="G7" s="40" t="s">
        <v>20</v>
      </c>
      <c r="H7" s="40" t="s">
        <v>20</v>
      </c>
      <c r="I7" s="40" t="s">
        <v>26</v>
      </c>
      <c r="J7" s="40" t="s">
        <v>43</v>
      </c>
      <c r="K7" s="79" t="s">
        <v>44</v>
      </c>
      <c r="L7" s="79" t="s">
        <v>87</v>
      </c>
      <c r="M7" s="40" t="s">
        <v>94</v>
      </c>
      <c r="N7" s="40" t="s">
        <v>95</v>
      </c>
      <c r="O7" s="81" t="s">
        <v>117</v>
      </c>
      <c r="P7" s="40" t="s">
        <v>127</v>
      </c>
      <c r="Q7" s="81" t="s">
        <v>166</v>
      </c>
      <c r="R7" s="20"/>
      <c r="S7" s="41"/>
      <c r="T7" s="41"/>
      <c r="U7" s="41" t="s">
        <v>178</v>
      </c>
      <c r="V7" s="40" t="s">
        <v>3</v>
      </c>
      <c r="W7" s="15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</row>
    <row r="8" spans="1:37" ht="12.75" customHeight="1" x14ac:dyDescent="0.25">
      <c r="B8" s="73"/>
      <c r="C8" s="55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  <c r="R8" s="52"/>
      <c r="S8" s="54"/>
      <c r="T8" s="54"/>
      <c r="U8" s="54"/>
      <c r="V8" s="51"/>
    </row>
    <row r="9" spans="1:37" x14ac:dyDescent="0.2">
      <c r="A9" s="1"/>
      <c r="B9" s="8" t="s">
        <v>24</v>
      </c>
      <c r="C9" s="55"/>
      <c r="D9" s="54"/>
      <c r="E9" s="51"/>
      <c r="F9" s="51"/>
      <c r="G9" s="51"/>
      <c r="H9" s="51"/>
      <c r="I9" s="51"/>
      <c r="J9" s="51"/>
      <c r="K9" s="51"/>
      <c r="L9" s="51"/>
      <c r="M9" s="52"/>
      <c r="N9" s="52"/>
      <c r="O9" s="52"/>
      <c r="P9" s="52"/>
      <c r="Q9" s="52"/>
      <c r="R9" s="52"/>
      <c r="V9" s="47"/>
      <c r="W9" s="56"/>
    </row>
    <row r="10" spans="1:37" ht="13.5" thickBot="1" x14ac:dyDescent="0.25">
      <c r="A10" s="2"/>
      <c r="B10" s="3" t="s">
        <v>12</v>
      </c>
      <c r="C10" s="55"/>
      <c r="D10" s="51"/>
      <c r="E10" s="51"/>
      <c r="F10" s="51"/>
      <c r="G10" s="51"/>
      <c r="H10" s="51"/>
      <c r="I10" s="52"/>
      <c r="J10" s="52"/>
      <c r="K10" s="52"/>
      <c r="L10" s="52"/>
      <c r="M10" s="52"/>
      <c r="N10" s="52"/>
      <c r="O10" s="51"/>
      <c r="P10" s="52"/>
      <c r="Q10" s="52"/>
      <c r="R10" s="52"/>
      <c r="V10" s="47"/>
      <c r="W10" s="34">
        <f>V11</f>
        <v>264809</v>
      </c>
    </row>
    <row r="11" spans="1:37" x14ac:dyDescent="0.2">
      <c r="A11" s="2"/>
      <c r="B11" s="10" t="s">
        <v>137</v>
      </c>
      <c r="C11" s="50"/>
      <c r="D11" s="50"/>
      <c r="G11" s="46"/>
      <c r="H11" s="15">
        <f>186111+50083</f>
        <v>236194</v>
      </c>
      <c r="I11" s="46"/>
      <c r="J11" s="15">
        <v>28615</v>
      </c>
      <c r="O11" s="46"/>
      <c r="V11" s="6">
        <f>SUM(C11:U11)</f>
        <v>264809</v>
      </c>
      <c r="W11" s="16" t="s">
        <v>209</v>
      </c>
      <c r="AF11" s="46"/>
    </row>
    <row r="12" spans="1:37" x14ac:dyDescent="0.2">
      <c r="A12" s="2"/>
      <c r="C12" s="50"/>
      <c r="D12" s="50"/>
      <c r="G12" s="46"/>
      <c r="H12" s="46"/>
      <c r="I12" s="46"/>
      <c r="J12" s="46"/>
      <c r="O12" s="46"/>
      <c r="V12" s="47"/>
      <c r="W12" s="57"/>
      <c r="AF12" s="46"/>
    </row>
    <row r="13" spans="1:37" ht="13.5" thickBot="1" x14ac:dyDescent="0.25">
      <c r="A13" s="2"/>
      <c r="C13" s="50"/>
      <c r="D13" s="50"/>
      <c r="G13" s="46"/>
      <c r="H13" s="46"/>
      <c r="I13" s="46"/>
      <c r="J13" s="46"/>
      <c r="O13" s="46"/>
      <c r="V13" s="47"/>
      <c r="W13" s="57"/>
      <c r="AF13" s="46"/>
    </row>
    <row r="14" spans="1:37" ht="13.5" thickBot="1" x14ac:dyDescent="0.25">
      <c r="A14" s="2"/>
      <c r="B14" s="3" t="s">
        <v>45</v>
      </c>
      <c r="C14" s="50"/>
      <c r="G14" s="46"/>
      <c r="H14" s="46"/>
      <c r="I14" s="46"/>
      <c r="J14" s="46"/>
      <c r="O14" s="46"/>
      <c r="V14" s="6"/>
      <c r="W14" s="35">
        <f>V15</f>
        <v>282.85104000000001</v>
      </c>
      <c r="AF14" s="46"/>
    </row>
    <row r="15" spans="1:37" x14ac:dyDescent="0.2">
      <c r="A15" s="2"/>
      <c r="B15" s="14" t="s">
        <v>6</v>
      </c>
      <c r="C15" s="50"/>
      <c r="E15" s="15">
        <v>242.31</v>
      </c>
      <c r="F15" s="46">
        <f>E113*0.027</f>
        <v>40.541040000000002</v>
      </c>
      <c r="G15" s="46"/>
      <c r="H15" s="46"/>
      <c r="I15" s="46"/>
      <c r="J15" s="46"/>
      <c r="O15" s="46"/>
      <c r="V15" s="6">
        <f>SUM(C15:U15)</f>
        <v>282.85104000000001</v>
      </c>
      <c r="W15" s="16" t="s">
        <v>13</v>
      </c>
      <c r="AF15" s="46"/>
    </row>
    <row r="16" spans="1:37" x14ac:dyDescent="0.2">
      <c r="A16" s="2"/>
      <c r="B16" s="14"/>
      <c r="C16" s="50"/>
      <c r="G16" s="46"/>
      <c r="H16" s="46"/>
      <c r="I16" s="46"/>
      <c r="J16" s="46"/>
      <c r="O16" s="46"/>
      <c r="V16" s="47"/>
      <c r="W16" s="57"/>
      <c r="AF16" s="46"/>
    </row>
    <row r="17" spans="1:32" ht="13.5" thickBot="1" x14ac:dyDescent="0.25">
      <c r="A17" s="2"/>
      <c r="B17" s="14"/>
      <c r="C17" s="50"/>
      <c r="G17" s="46"/>
      <c r="H17" s="46"/>
      <c r="I17" s="46"/>
      <c r="J17" s="46"/>
      <c r="O17" s="46"/>
      <c r="V17" s="47"/>
      <c r="W17" s="57"/>
      <c r="AF17" s="46"/>
    </row>
    <row r="18" spans="1:32" ht="13.5" thickBot="1" x14ac:dyDescent="0.25">
      <c r="A18" s="2"/>
      <c r="B18" s="4" t="s">
        <v>14</v>
      </c>
      <c r="C18" s="50"/>
      <c r="G18" s="46"/>
      <c r="H18" s="46"/>
      <c r="I18" s="46"/>
      <c r="J18" s="46"/>
      <c r="O18" s="46"/>
      <c r="V18" s="6"/>
      <c r="W18" s="35">
        <f>SUM(V19:V20)</f>
        <v>1199803</v>
      </c>
      <c r="AF18" s="46"/>
    </row>
    <row r="19" spans="1:32" x14ac:dyDescent="0.2">
      <c r="A19" s="2"/>
      <c r="B19" s="10" t="s">
        <v>70</v>
      </c>
      <c r="C19" s="46"/>
      <c r="D19" s="46">
        <v>889156</v>
      </c>
      <c r="G19" s="46"/>
      <c r="H19" s="46"/>
      <c r="I19" s="46"/>
      <c r="J19" s="46"/>
      <c r="O19" s="46"/>
      <c r="V19" s="6">
        <f>SUM(C19:U19)</f>
        <v>889156</v>
      </c>
      <c r="W19" s="16" t="s">
        <v>14</v>
      </c>
      <c r="AF19" s="46"/>
    </row>
    <row r="20" spans="1:32" x14ac:dyDescent="0.2">
      <c r="A20" s="2"/>
      <c r="B20" s="10" t="s">
        <v>79</v>
      </c>
      <c r="C20" s="50"/>
      <c r="G20" s="46"/>
      <c r="H20" s="46"/>
      <c r="I20" s="23">
        <v>310647</v>
      </c>
      <c r="J20" s="46"/>
      <c r="O20" s="46"/>
      <c r="V20" s="6">
        <f>SUM(C20:U20)</f>
        <v>310647</v>
      </c>
      <c r="W20" s="16" t="s">
        <v>14</v>
      </c>
      <c r="AF20" s="46"/>
    </row>
    <row r="21" spans="1:32" x14ac:dyDescent="0.2">
      <c r="A21" s="2"/>
      <c r="C21" s="50"/>
      <c r="G21" s="46"/>
      <c r="H21" s="46"/>
      <c r="I21" s="53"/>
      <c r="J21" s="46"/>
      <c r="O21" s="46"/>
      <c r="V21" s="47"/>
      <c r="W21" s="57"/>
      <c r="AF21" s="46"/>
    </row>
    <row r="22" spans="1:32" ht="13.5" thickBot="1" x14ac:dyDescent="0.25">
      <c r="A22" s="2"/>
      <c r="C22" s="50"/>
      <c r="G22" s="46"/>
      <c r="H22" s="46"/>
      <c r="I22" s="53"/>
      <c r="J22" s="46"/>
      <c r="O22" s="46"/>
      <c r="V22" s="47"/>
      <c r="W22" s="57"/>
      <c r="AF22" s="46"/>
    </row>
    <row r="23" spans="1:32" ht="13.5" thickBot="1" x14ac:dyDescent="0.25">
      <c r="A23" s="2"/>
      <c r="B23" s="3" t="s">
        <v>133</v>
      </c>
      <c r="C23" s="50"/>
      <c r="G23" s="46"/>
      <c r="H23" s="46"/>
      <c r="I23" s="53"/>
      <c r="J23" s="46"/>
      <c r="O23" s="46"/>
      <c r="V23" s="6"/>
      <c r="W23" s="35">
        <f>SUM(V24:V28)</f>
        <v>2104875</v>
      </c>
      <c r="AF23" s="46"/>
    </row>
    <row r="24" spans="1:32" x14ac:dyDescent="0.2">
      <c r="A24" s="2"/>
      <c r="B24" s="10" t="s">
        <v>134</v>
      </c>
      <c r="C24" s="50"/>
      <c r="G24" s="46"/>
      <c r="H24" s="46"/>
      <c r="I24" s="53"/>
      <c r="J24" s="46"/>
      <c r="O24" s="46"/>
      <c r="P24" s="15">
        <v>95655</v>
      </c>
      <c r="V24" s="6">
        <f>SUM(C24:U24)</f>
        <v>95655</v>
      </c>
      <c r="W24" s="16" t="s">
        <v>136</v>
      </c>
      <c r="AF24" s="46"/>
    </row>
    <row r="25" spans="1:32" x14ac:dyDescent="0.2">
      <c r="A25" s="2"/>
      <c r="B25" s="10" t="s">
        <v>135</v>
      </c>
      <c r="C25" s="50"/>
      <c r="G25" s="46"/>
      <c r="H25" s="46"/>
      <c r="I25" s="53"/>
      <c r="J25" s="46"/>
      <c r="O25" s="46"/>
      <c r="P25" s="15">
        <v>181620</v>
      </c>
      <c r="V25" s="6">
        <f>SUM(C25:U25)</f>
        <v>181620</v>
      </c>
      <c r="W25" s="16" t="s">
        <v>136</v>
      </c>
      <c r="AF25" s="46"/>
    </row>
    <row r="26" spans="1:32" x14ac:dyDescent="0.2">
      <c r="A26" s="2"/>
      <c r="B26" s="14" t="s">
        <v>175</v>
      </c>
      <c r="C26" s="50"/>
      <c r="G26" s="46"/>
      <c r="H26" s="46"/>
      <c r="I26" s="46"/>
      <c r="J26" s="46"/>
      <c r="O26" s="46"/>
      <c r="Q26" s="15">
        <v>204850</v>
      </c>
      <c r="V26" s="6">
        <f>SUM(C26:U26)</f>
        <v>204850</v>
      </c>
      <c r="W26" s="16" t="s">
        <v>136</v>
      </c>
      <c r="AF26" s="46"/>
    </row>
    <row r="27" spans="1:32" x14ac:dyDescent="0.2">
      <c r="A27" s="2"/>
      <c r="B27" s="14" t="s">
        <v>179</v>
      </c>
      <c r="C27" s="50"/>
      <c r="G27" s="46"/>
      <c r="H27" s="46"/>
      <c r="I27" s="46"/>
      <c r="J27" s="46"/>
      <c r="O27" s="46"/>
      <c r="Q27" s="46"/>
      <c r="T27" s="23">
        <v>247750</v>
      </c>
      <c r="U27" s="58"/>
      <c r="V27" s="6">
        <f>SUM(C27:U27)</f>
        <v>247750</v>
      </c>
      <c r="W27" s="16" t="s">
        <v>136</v>
      </c>
      <c r="AF27" s="46"/>
    </row>
    <row r="28" spans="1:32" x14ac:dyDescent="0.2">
      <c r="A28" s="2"/>
      <c r="B28" s="14" t="s">
        <v>186</v>
      </c>
      <c r="C28" s="50"/>
      <c r="G28" s="46"/>
      <c r="H28" s="46"/>
      <c r="I28" s="46"/>
      <c r="J28" s="46"/>
      <c r="O28" s="46"/>
      <c r="T28" s="53"/>
      <c r="U28" s="23">
        <v>1375000</v>
      </c>
      <c r="V28" s="6">
        <f>SUM(C28:U28)</f>
        <v>1375000</v>
      </c>
      <c r="W28" s="16" t="s">
        <v>136</v>
      </c>
      <c r="AF28" s="46"/>
    </row>
    <row r="29" spans="1:32" ht="13.5" thickBot="1" x14ac:dyDescent="0.25">
      <c r="A29" s="2"/>
      <c r="B29" s="14"/>
      <c r="C29" s="50"/>
      <c r="G29" s="46"/>
      <c r="H29" s="46"/>
      <c r="I29" s="46"/>
      <c r="J29" s="46"/>
      <c r="O29" s="46"/>
      <c r="T29" s="59"/>
      <c r="U29" s="53"/>
      <c r="V29" s="47"/>
      <c r="W29" s="57"/>
      <c r="AF29" s="46"/>
    </row>
    <row r="30" spans="1:32" ht="13.5" thickBot="1" x14ac:dyDescent="0.25">
      <c r="A30" s="2"/>
      <c r="B30" s="14"/>
      <c r="C30" s="50"/>
      <c r="G30" s="46"/>
      <c r="H30" s="46"/>
      <c r="I30" s="46"/>
      <c r="J30" s="46"/>
      <c r="O30" s="46"/>
      <c r="T30" s="59"/>
      <c r="U30" s="53"/>
      <c r="V30" s="6"/>
      <c r="W30" s="35">
        <f>SUM(V31:V32)</f>
        <v>665444.39</v>
      </c>
      <c r="AF30" s="46"/>
    </row>
    <row r="31" spans="1:32" x14ac:dyDescent="0.2">
      <c r="A31" s="2"/>
      <c r="B31" s="4" t="s">
        <v>204</v>
      </c>
      <c r="C31" s="50"/>
      <c r="G31" s="46"/>
      <c r="H31" s="46"/>
      <c r="I31" s="46"/>
      <c r="J31" s="46"/>
      <c r="O31" s="46"/>
      <c r="T31" s="23"/>
      <c r="U31" s="53"/>
      <c r="V31" s="6">
        <f>SUM(T31:U31)</f>
        <v>0</v>
      </c>
      <c r="W31" s="16" t="s">
        <v>205</v>
      </c>
      <c r="AF31" s="46"/>
    </row>
    <row r="32" spans="1:32" x14ac:dyDescent="0.2">
      <c r="A32" s="2"/>
      <c r="B32" s="14" t="s">
        <v>203</v>
      </c>
      <c r="C32" s="50"/>
      <c r="G32" s="46"/>
      <c r="H32" s="46"/>
      <c r="I32" s="46"/>
      <c r="J32" s="46"/>
      <c r="O32" s="46"/>
      <c r="S32" s="86">
        <f>8422.39+248479</f>
        <v>256901.39</v>
      </c>
      <c r="T32" s="23">
        <v>315857</v>
      </c>
      <c r="U32" s="23">
        <v>92686</v>
      </c>
      <c r="V32" s="6">
        <f>SUM(C32:U32)</f>
        <v>665444.39</v>
      </c>
      <c r="W32" s="16" t="s">
        <v>205</v>
      </c>
      <c r="AF32" s="46"/>
    </row>
    <row r="33" spans="1:32" x14ac:dyDescent="0.2">
      <c r="A33" s="2"/>
      <c r="B33" s="14"/>
      <c r="C33" s="50"/>
      <c r="G33" s="46"/>
      <c r="H33" s="46"/>
      <c r="I33" s="46"/>
      <c r="J33" s="46"/>
      <c r="O33" s="46"/>
      <c r="V33" s="47"/>
      <c r="W33" s="57"/>
      <c r="AF33" s="46"/>
    </row>
    <row r="34" spans="1:32" ht="13.5" thickBot="1" x14ac:dyDescent="0.25">
      <c r="A34" s="2"/>
      <c r="B34" s="14"/>
      <c r="C34" s="50"/>
      <c r="G34" s="46"/>
      <c r="H34" s="46"/>
      <c r="I34" s="46"/>
      <c r="J34" s="46"/>
      <c r="O34" s="46"/>
      <c r="V34" s="47"/>
      <c r="W34" s="57"/>
      <c r="AF34" s="46"/>
    </row>
    <row r="35" spans="1:32" ht="13.5" thickBot="1" x14ac:dyDescent="0.25">
      <c r="A35" s="2"/>
      <c r="B35" s="4" t="s">
        <v>46</v>
      </c>
      <c r="C35" s="50"/>
      <c r="G35" s="46"/>
      <c r="H35" s="46"/>
      <c r="I35" s="46"/>
      <c r="J35" s="46"/>
      <c r="O35" s="46"/>
      <c r="V35" s="47"/>
      <c r="W35" s="35"/>
      <c r="AF35" s="46"/>
    </row>
    <row r="36" spans="1:32" x14ac:dyDescent="0.2">
      <c r="A36" s="2"/>
      <c r="B36" s="4"/>
      <c r="C36" s="50"/>
      <c r="G36" s="46"/>
      <c r="H36" s="46"/>
      <c r="I36" s="46"/>
      <c r="J36" s="46"/>
      <c r="O36" s="46"/>
      <c r="V36" s="47"/>
      <c r="W36" s="16" t="s">
        <v>46</v>
      </c>
      <c r="AF36" s="46"/>
    </row>
    <row r="37" spans="1:32" x14ac:dyDescent="0.2">
      <c r="A37" s="2"/>
      <c r="B37" s="4"/>
      <c r="C37" s="50"/>
      <c r="G37" s="46"/>
      <c r="H37" s="46"/>
      <c r="I37" s="46"/>
      <c r="J37" s="46"/>
      <c r="O37" s="46"/>
      <c r="V37" s="47"/>
      <c r="W37" s="57"/>
      <c r="AF37" s="46"/>
    </row>
    <row r="38" spans="1:32" ht="13.5" thickBot="1" x14ac:dyDescent="0.25">
      <c r="A38" s="2"/>
      <c r="B38" s="4"/>
      <c r="C38" s="50"/>
      <c r="G38" s="46"/>
      <c r="H38" s="46"/>
      <c r="I38" s="46"/>
      <c r="J38" s="46"/>
      <c r="O38" s="46"/>
      <c r="V38" s="47"/>
      <c r="W38" s="57"/>
      <c r="AF38" s="46"/>
    </row>
    <row r="39" spans="1:32" ht="13.5" thickBot="1" x14ac:dyDescent="0.25">
      <c r="A39" s="2"/>
      <c r="B39" s="4" t="s">
        <v>206</v>
      </c>
      <c r="C39" s="50"/>
      <c r="G39" s="46"/>
      <c r="H39" s="46"/>
      <c r="I39" s="46"/>
      <c r="J39" s="46"/>
      <c r="O39" s="46"/>
      <c r="V39" s="6"/>
      <c r="W39" s="35">
        <f>SUM(V40)</f>
        <v>68373.38</v>
      </c>
      <c r="AF39" s="46"/>
    </row>
    <row r="40" spans="1:32" x14ac:dyDescent="0.2">
      <c r="A40" s="2"/>
      <c r="B40" s="10" t="s">
        <v>203</v>
      </c>
      <c r="C40" s="50"/>
      <c r="G40" s="46"/>
      <c r="H40" s="46"/>
      <c r="O40" s="46"/>
      <c r="S40" s="23">
        <f>865.38+25531</f>
        <v>26396.38</v>
      </c>
      <c r="T40" s="23">
        <v>32454</v>
      </c>
      <c r="U40" s="23">
        <v>9523</v>
      </c>
      <c r="V40" s="6">
        <f>SUM(C40:U40)</f>
        <v>68373.38</v>
      </c>
      <c r="W40" s="16" t="s">
        <v>207</v>
      </c>
      <c r="AF40" s="46"/>
    </row>
    <row r="41" spans="1:32" ht="13.5" thickBot="1" x14ac:dyDescent="0.25">
      <c r="A41" s="2"/>
      <c r="C41" s="50"/>
      <c r="D41" s="50"/>
      <c r="G41" s="46"/>
      <c r="H41" s="46"/>
      <c r="O41" s="46"/>
      <c r="V41" s="47"/>
      <c r="W41" s="57"/>
      <c r="AF41" s="46"/>
    </row>
    <row r="42" spans="1:32" ht="18.75" customHeight="1" thickBot="1" x14ac:dyDescent="0.25">
      <c r="A42" s="2"/>
      <c r="B42" s="3" t="s">
        <v>39</v>
      </c>
      <c r="C42" s="50"/>
      <c r="G42" s="46"/>
      <c r="H42" s="46"/>
      <c r="O42" s="46"/>
      <c r="U42" s="25"/>
      <c r="V42" s="6"/>
      <c r="W42" s="35">
        <f>SUM(V43:V44)</f>
        <v>764960</v>
      </c>
      <c r="AF42" s="46"/>
    </row>
    <row r="43" spans="1:32" x14ac:dyDescent="0.2">
      <c r="A43" s="2"/>
      <c r="B43" s="14" t="s">
        <v>105</v>
      </c>
      <c r="C43" s="46"/>
      <c r="D43" s="50"/>
      <c r="G43" s="15">
        <f>120000+24960</f>
        <v>144960</v>
      </c>
      <c r="H43" s="46"/>
      <c r="O43" s="46"/>
      <c r="U43" s="25"/>
      <c r="V43" s="6">
        <f>SUM(C43:U43)</f>
        <v>144960</v>
      </c>
      <c r="W43" s="16" t="s">
        <v>30</v>
      </c>
      <c r="AF43" s="46"/>
    </row>
    <row r="44" spans="1:32" x14ac:dyDescent="0.2">
      <c r="A44" s="2"/>
      <c r="B44" s="10" t="s">
        <v>213</v>
      </c>
      <c r="C44" s="46"/>
      <c r="D44" s="50"/>
      <c r="G44" s="46"/>
      <c r="H44" s="46"/>
      <c r="O44" s="46"/>
      <c r="U44" s="23">
        <v>620000</v>
      </c>
      <c r="V44" s="6">
        <f>SUM(C44:U44)</f>
        <v>620000</v>
      </c>
      <c r="W44" s="16" t="s">
        <v>30</v>
      </c>
      <c r="AF44" s="46"/>
    </row>
    <row r="45" spans="1:32" ht="13.5" thickBot="1" x14ac:dyDescent="0.25">
      <c r="A45" s="2"/>
      <c r="C45" s="46"/>
      <c r="D45" s="50"/>
      <c r="G45" s="46"/>
      <c r="H45" s="46"/>
      <c r="O45" s="46"/>
      <c r="V45" s="47"/>
      <c r="W45" s="57"/>
      <c r="AF45" s="46"/>
    </row>
    <row r="46" spans="1:32" ht="13.5" thickBot="1" x14ac:dyDescent="0.25">
      <c r="A46" s="2"/>
      <c r="B46" s="4" t="s">
        <v>31</v>
      </c>
      <c r="C46" s="50"/>
      <c r="G46" s="46"/>
      <c r="H46" s="46"/>
      <c r="O46" s="46"/>
      <c r="V46" s="6"/>
      <c r="W46" s="35">
        <f>SUM(V47:V51)</f>
        <v>430459.91000000003</v>
      </c>
      <c r="AF46" s="46"/>
    </row>
    <row r="47" spans="1:32" x14ac:dyDescent="0.2">
      <c r="A47" s="2"/>
      <c r="B47" s="10" t="s">
        <v>106</v>
      </c>
      <c r="C47" s="50"/>
      <c r="G47" s="15">
        <f>26248+6300</f>
        <v>32548</v>
      </c>
      <c r="H47" s="46"/>
      <c r="O47" s="46"/>
      <c r="V47" s="33">
        <f>SUM(C47:U47)</f>
        <v>32548</v>
      </c>
      <c r="W47" s="16" t="s">
        <v>53</v>
      </c>
      <c r="X47" s="32"/>
      <c r="AF47" s="46"/>
    </row>
    <row r="48" spans="1:32" x14ac:dyDescent="0.2">
      <c r="A48" s="2"/>
      <c r="B48" s="10" t="s">
        <v>107</v>
      </c>
      <c r="C48" s="50"/>
      <c r="G48" s="15">
        <f>8035+1928</f>
        <v>9963</v>
      </c>
      <c r="H48" s="46"/>
      <c r="O48" s="46"/>
      <c r="V48" s="33">
        <f>SUM(C48:U48)</f>
        <v>9963</v>
      </c>
      <c r="W48" s="16" t="s">
        <v>53</v>
      </c>
      <c r="AF48" s="46"/>
    </row>
    <row r="49" spans="1:32" x14ac:dyDescent="0.2">
      <c r="A49" s="2"/>
      <c r="B49" s="10" t="s">
        <v>108</v>
      </c>
      <c r="C49" s="50"/>
      <c r="G49" s="15">
        <f>45000+10800</f>
        <v>55800</v>
      </c>
      <c r="H49" s="46"/>
      <c r="O49" s="46"/>
      <c r="V49" s="33">
        <f>SUM(C49:U49)</f>
        <v>55800</v>
      </c>
      <c r="W49" s="16" t="s">
        <v>53</v>
      </c>
      <c r="AF49" s="46"/>
    </row>
    <row r="50" spans="1:32" x14ac:dyDescent="0.2">
      <c r="A50" s="2"/>
      <c r="B50" s="10" t="s">
        <v>109</v>
      </c>
      <c r="C50" s="50"/>
      <c r="G50" s="15">
        <f>12745+3059</f>
        <v>15804</v>
      </c>
      <c r="H50" s="46"/>
      <c r="O50" s="46"/>
      <c r="V50" s="33">
        <f>SUM(C50:U50)</f>
        <v>15804</v>
      </c>
      <c r="W50" s="16" t="s">
        <v>53</v>
      </c>
      <c r="AF50" s="46"/>
    </row>
    <row r="51" spans="1:32" x14ac:dyDescent="0.2">
      <c r="A51" s="2"/>
      <c r="B51" s="10" t="s">
        <v>203</v>
      </c>
      <c r="C51" s="50"/>
      <c r="G51" s="46"/>
      <c r="H51" s="46"/>
      <c r="O51" s="46"/>
      <c r="S51" s="86">
        <f>4003.91+118124</f>
        <v>122127.91</v>
      </c>
      <c r="T51" s="23">
        <v>150155</v>
      </c>
      <c r="U51" s="23">
        <v>44062</v>
      </c>
      <c r="V51" s="6">
        <f>SUM(C51:U51)</f>
        <v>316344.91000000003</v>
      </c>
      <c r="W51" s="16" t="s">
        <v>208</v>
      </c>
      <c r="AF51" s="46"/>
    </row>
    <row r="52" spans="1:32" ht="13.5" thickBot="1" x14ac:dyDescent="0.25">
      <c r="A52" s="2"/>
      <c r="C52" s="50"/>
      <c r="G52" s="46"/>
      <c r="H52" s="46"/>
      <c r="O52" s="46"/>
      <c r="V52" s="47"/>
      <c r="W52" s="57"/>
      <c r="AF52" s="46"/>
    </row>
    <row r="53" spans="1:32" ht="13.5" thickBot="1" x14ac:dyDescent="0.25">
      <c r="A53" s="2"/>
      <c r="B53" s="3" t="s">
        <v>142</v>
      </c>
      <c r="C53" s="50"/>
      <c r="G53" s="46"/>
      <c r="H53" s="46"/>
      <c r="O53" s="46"/>
      <c r="V53" s="6"/>
      <c r="W53" s="35">
        <f>SUM(V54:V57)</f>
        <v>618325</v>
      </c>
      <c r="AF53" s="46"/>
    </row>
    <row r="54" spans="1:32" x14ac:dyDescent="0.2">
      <c r="A54" s="2"/>
      <c r="B54" s="14" t="s">
        <v>163</v>
      </c>
      <c r="C54" s="50"/>
      <c r="G54" s="46"/>
      <c r="H54" s="46"/>
      <c r="O54" s="46"/>
      <c r="Q54" s="15">
        <v>129775</v>
      </c>
      <c r="V54" s="6">
        <f>SUM(C54:U54)</f>
        <v>129775</v>
      </c>
      <c r="W54" s="16" t="s">
        <v>156</v>
      </c>
      <c r="AF54" s="46"/>
    </row>
    <row r="55" spans="1:32" x14ac:dyDescent="0.2">
      <c r="A55" s="2"/>
      <c r="B55" s="14" t="s">
        <v>198</v>
      </c>
      <c r="C55" s="50"/>
      <c r="G55" s="46"/>
      <c r="H55" s="46"/>
      <c r="O55" s="46"/>
      <c r="Q55" s="15">
        <v>246665</v>
      </c>
      <c r="V55" s="6">
        <f>SUM(C55:U55)</f>
        <v>246665</v>
      </c>
      <c r="W55" s="16" t="s">
        <v>156</v>
      </c>
      <c r="AF55" s="46"/>
    </row>
    <row r="56" spans="1:32" x14ac:dyDescent="0.2">
      <c r="A56" s="2"/>
      <c r="B56" s="14" t="s">
        <v>199</v>
      </c>
      <c r="C56" s="50"/>
      <c r="G56" s="46"/>
      <c r="H56" s="46"/>
      <c r="O56" s="46"/>
      <c r="Q56" s="15">
        <v>86000</v>
      </c>
      <c r="V56" s="6">
        <f>SUM(C56:U56)</f>
        <v>86000</v>
      </c>
      <c r="W56" s="16" t="s">
        <v>156</v>
      </c>
      <c r="AF56" s="46"/>
    </row>
    <row r="57" spans="1:32" x14ac:dyDescent="0.2">
      <c r="A57" s="2"/>
      <c r="B57" s="14" t="s">
        <v>217</v>
      </c>
      <c r="C57" s="50"/>
      <c r="G57" s="46"/>
      <c r="H57" s="46"/>
      <c r="O57" s="46"/>
      <c r="P57" s="15">
        <v>27000</v>
      </c>
      <c r="Q57" s="15">
        <v>88465</v>
      </c>
      <c r="R57" s="15"/>
      <c r="S57" s="23">
        <v>40420</v>
      </c>
      <c r="V57" s="6">
        <f>SUM(C57:U57)</f>
        <v>155885</v>
      </c>
      <c r="W57" s="16" t="s">
        <v>156</v>
      </c>
      <c r="AF57" s="46"/>
    </row>
    <row r="58" spans="1:32" ht="13.5" thickBot="1" x14ac:dyDescent="0.25">
      <c r="A58" s="2"/>
      <c r="C58" s="46"/>
      <c r="D58" s="50"/>
      <c r="G58" s="46"/>
      <c r="H58" s="46"/>
      <c r="O58" s="46"/>
      <c r="V58" s="47"/>
      <c r="W58" s="57"/>
      <c r="AF58" s="46"/>
    </row>
    <row r="59" spans="1:32" ht="13.5" thickBot="1" x14ac:dyDescent="0.25">
      <c r="A59" s="2"/>
      <c r="B59" s="3" t="s">
        <v>33</v>
      </c>
      <c r="C59" s="50"/>
      <c r="G59" s="46"/>
      <c r="H59" s="46"/>
      <c r="O59" s="46"/>
      <c r="V59" s="6"/>
      <c r="W59" s="35">
        <f>SUM(V60:V63)</f>
        <v>1951680.75</v>
      </c>
      <c r="AF59" s="46"/>
    </row>
    <row r="60" spans="1:32" x14ac:dyDescent="0.2">
      <c r="A60" s="2"/>
      <c r="B60" s="14" t="s">
        <v>189</v>
      </c>
      <c r="C60" s="50"/>
      <c r="G60" s="15">
        <f>261950+62868</f>
        <v>324818</v>
      </c>
      <c r="H60" s="46"/>
      <c r="I60" s="46"/>
      <c r="J60" s="46"/>
      <c r="K60" s="46"/>
      <c r="L60" s="46"/>
      <c r="M60" s="46"/>
      <c r="N60" s="46"/>
      <c r="O60" s="46"/>
      <c r="V60" s="6">
        <f>SUM(C60:U60)</f>
        <v>324818</v>
      </c>
      <c r="W60" s="16" t="s">
        <v>28</v>
      </c>
      <c r="AF60" s="46"/>
    </row>
    <row r="61" spans="1:32" x14ac:dyDescent="0.2">
      <c r="A61" s="2"/>
      <c r="B61" s="14" t="s">
        <v>195</v>
      </c>
      <c r="C61" s="50"/>
      <c r="G61" s="15">
        <f>100000+24000</f>
        <v>124000</v>
      </c>
      <c r="H61" s="46"/>
      <c r="I61" s="46"/>
      <c r="J61" s="46"/>
      <c r="K61" s="46"/>
      <c r="L61" s="46"/>
      <c r="M61" s="46"/>
      <c r="N61" s="46"/>
      <c r="O61" s="46"/>
      <c r="T61" s="53"/>
      <c r="U61" s="58"/>
      <c r="V61" s="6">
        <f>SUM(C61:U61)</f>
        <v>124000</v>
      </c>
      <c r="W61" s="16" t="s">
        <v>28</v>
      </c>
      <c r="AF61" s="46"/>
    </row>
    <row r="62" spans="1:32" x14ac:dyDescent="0.2">
      <c r="A62" s="2"/>
      <c r="B62" s="14" t="s">
        <v>192</v>
      </c>
      <c r="C62" s="50"/>
      <c r="G62" s="46"/>
      <c r="H62" s="46"/>
      <c r="I62" s="46"/>
      <c r="J62" s="46"/>
      <c r="K62" s="46"/>
      <c r="L62" s="46"/>
      <c r="M62" s="46"/>
      <c r="N62" s="46"/>
      <c r="O62" s="46"/>
      <c r="T62" s="23"/>
      <c r="U62" s="23">
        <v>296257</v>
      </c>
      <c r="V62" s="6">
        <f>SUM(C62:U62)</f>
        <v>296257</v>
      </c>
      <c r="W62" s="16" t="s">
        <v>28</v>
      </c>
      <c r="AF62" s="46"/>
    </row>
    <row r="63" spans="1:32" x14ac:dyDescent="0.2">
      <c r="A63" s="2"/>
      <c r="B63" s="14" t="s">
        <v>203</v>
      </c>
      <c r="C63" s="50"/>
      <c r="G63" s="46"/>
      <c r="H63" s="46"/>
      <c r="I63" s="46"/>
      <c r="J63" s="46"/>
      <c r="K63" s="46"/>
      <c r="L63" s="46"/>
      <c r="M63" s="46"/>
      <c r="N63" s="46"/>
      <c r="O63" s="46"/>
      <c r="S63" s="23">
        <f>15271.75+450550</f>
        <v>465821.75</v>
      </c>
      <c r="T63" s="23">
        <v>572722</v>
      </c>
      <c r="U63" s="23">
        <v>168062</v>
      </c>
      <c r="V63" s="6">
        <f>SUM(C63:U63)</f>
        <v>1206605.75</v>
      </c>
      <c r="W63" s="16" t="s">
        <v>28</v>
      </c>
      <c r="AF63" s="46"/>
    </row>
    <row r="64" spans="1:32" ht="13.5" thickBot="1" x14ac:dyDescent="0.25">
      <c r="A64" s="2"/>
      <c r="B64" s="14"/>
      <c r="C64" s="50"/>
      <c r="G64" s="46"/>
      <c r="H64" s="46"/>
      <c r="I64" s="46"/>
      <c r="J64" s="46"/>
      <c r="K64" s="46"/>
      <c r="L64" s="46"/>
      <c r="M64" s="46"/>
      <c r="N64" s="46"/>
      <c r="O64" s="46"/>
      <c r="V64" s="47"/>
      <c r="W64" s="57"/>
      <c r="AF64" s="46"/>
    </row>
    <row r="65" spans="1:32" ht="13.5" thickBot="1" x14ac:dyDescent="0.25">
      <c r="A65" s="2"/>
      <c r="B65" s="4" t="s">
        <v>25</v>
      </c>
      <c r="C65" s="50"/>
      <c r="G65" s="46"/>
      <c r="H65" s="46"/>
      <c r="I65" s="46"/>
      <c r="J65" s="46"/>
      <c r="K65" s="46"/>
      <c r="L65" s="46"/>
      <c r="M65" s="46"/>
      <c r="N65" s="46"/>
      <c r="O65" s="46"/>
      <c r="V65" s="6"/>
      <c r="W65" s="35">
        <f>SUM(V66:V71)</f>
        <v>251140.83496000001</v>
      </c>
      <c r="AF65" s="46"/>
    </row>
    <row r="66" spans="1:32" x14ac:dyDescent="0.2">
      <c r="A66" s="2"/>
      <c r="B66" s="28" t="s">
        <v>4</v>
      </c>
      <c r="C66" s="50"/>
      <c r="G66" s="46"/>
      <c r="H66" s="46"/>
      <c r="I66" s="46"/>
      <c r="J66" s="46"/>
      <c r="K66" s="46"/>
      <c r="L66" s="46"/>
      <c r="M66" s="46"/>
      <c r="N66" s="46"/>
      <c r="O66" s="46"/>
      <c r="V66" s="6">
        <f t="shared" ref="V66:V71" si="0">SUM(C66:U66)</f>
        <v>0</v>
      </c>
      <c r="W66" s="16" t="s">
        <v>16</v>
      </c>
      <c r="AF66" s="46"/>
    </row>
    <row r="67" spans="1:32" x14ac:dyDescent="0.2">
      <c r="A67" s="2"/>
      <c r="B67" s="14" t="s">
        <v>10</v>
      </c>
      <c r="C67" s="50"/>
      <c r="E67" s="15">
        <v>1470.55</v>
      </c>
      <c r="F67" s="46">
        <f>(E113*0.023)-1</f>
        <v>33.534959999999998</v>
      </c>
      <c r="G67" s="46"/>
      <c r="H67" s="46"/>
      <c r="I67" s="46"/>
      <c r="J67" s="46"/>
      <c r="K67" s="46"/>
      <c r="L67" s="46"/>
      <c r="M67" s="46"/>
      <c r="N67" s="46"/>
      <c r="O67" s="46"/>
      <c r="V67" s="6">
        <f t="shared" si="0"/>
        <v>1504.0849599999999</v>
      </c>
      <c r="W67" s="16" t="s">
        <v>16</v>
      </c>
      <c r="AF67" s="46"/>
    </row>
    <row r="68" spans="1:32" x14ac:dyDescent="0.2">
      <c r="A68" s="2"/>
      <c r="B68" s="14" t="s">
        <v>194</v>
      </c>
      <c r="C68" s="50"/>
      <c r="G68" s="15">
        <f>40050+9612</f>
        <v>49662</v>
      </c>
      <c r="H68" s="46"/>
      <c r="I68" s="46"/>
      <c r="J68" s="46"/>
      <c r="K68" s="46"/>
      <c r="L68" s="46"/>
      <c r="M68" s="46"/>
      <c r="N68" s="46"/>
      <c r="O68" s="46"/>
      <c r="V68" s="6">
        <f t="shared" si="0"/>
        <v>49662</v>
      </c>
      <c r="W68" s="16" t="s">
        <v>16</v>
      </c>
      <c r="AF68" s="46"/>
    </row>
    <row r="69" spans="1:32" x14ac:dyDescent="0.2">
      <c r="A69" s="2"/>
      <c r="B69" s="14" t="s">
        <v>76</v>
      </c>
      <c r="C69" s="50"/>
      <c r="G69" s="46"/>
      <c r="H69" s="46"/>
      <c r="I69" s="15">
        <f>36128*0.75</f>
        <v>27096</v>
      </c>
      <c r="J69" s="15">
        <f>44885*0.75</f>
        <v>33663.75</v>
      </c>
      <c r="K69" s="46"/>
      <c r="L69" s="46"/>
      <c r="M69" s="46"/>
      <c r="N69" s="46"/>
      <c r="O69" s="46"/>
      <c r="V69" s="6">
        <f t="shared" si="0"/>
        <v>60759.75</v>
      </c>
      <c r="W69" s="16" t="s">
        <v>16</v>
      </c>
      <c r="AF69" s="46"/>
    </row>
    <row r="70" spans="1:32" x14ac:dyDescent="0.2">
      <c r="A70" s="2"/>
      <c r="B70" s="14" t="s">
        <v>181</v>
      </c>
      <c r="C70" s="50"/>
      <c r="G70" s="46"/>
      <c r="H70" s="46"/>
      <c r="I70" s="46"/>
      <c r="J70" s="46"/>
      <c r="K70" s="46"/>
      <c r="L70" s="46"/>
      <c r="M70" s="46"/>
      <c r="N70" s="46"/>
      <c r="O70" s="80">
        <v>46060</v>
      </c>
      <c r="V70" s="6">
        <f t="shared" si="0"/>
        <v>46060</v>
      </c>
      <c r="W70" s="16" t="s">
        <v>16</v>
      </c>
      <c r="AF70" s="46"/>
    </row>
    <row r="71" spans="1:32" x14ac:dyDescent="0.2">
      <c r="A71" s="2"/>
      <c r="B71" s="14" t="s">
        <v>126</v>
      </c>
      <c r="C71" s="50"/>
      <c r="G71" s="46"/>
      <c r="H71" s="46"/>
      <c r="I71" s="46"/>
      <c r="J71" s="46"/>
      <c r="K71" s="46"/>
      <c r="L71" s="46"/>
      <c r="M71" s="46"/>
      <c r="N71" s="46"/>
      <c r="O71" s="80">
        <v>93155</v>
      </c>
      <c r="V71" s="6">
        <f t="shared" si="0"/>
        <v>93155</v>
      </c>
      <c r="W71" s="16" t="s">
        <v>16</v>
      </c>
      <c r="AF71" s="46"/>
    </row>
    <row r="72" spans="1:32" x14ac:dyDescent="0.2">
      <c r="A72" s="2"/>
      <c r="B72" s="14"/>
      <c r="C72" s="50"/>
      <c r="G72" s="46"/>
      <c r="H72" s="46"/>
      <c r="I72" s="46"/>
      <c r="J72" s="46"/>
      <c r="K72" s="46"/>
      <c r="L72" s="46"/>
      <c r="M72" s="46"/>
      <c r="N72" s="46"/>
      <c r="O72" s="46"/>
      <c r="V72" s="47"/>
      <c r="W72" s="57"/>
      <c r="AF72" s="46"/>
    </row>
    <row r="73" spans="1:32" ht="13.5" thickBot="1" x14ac:dyDescent="0.25">
      <c r="A73" s="2"/>
      <c r="B73" s="14"/>
      <c r="C73" s="50"/>
      <c r="G73" s="46"/>
      <c r="H73" s="46"/>
      <c r="I73" s="46"/>
      <c r="J73" s="46"/>
      <c r="K73" s="46"/>
      <c r="L73" s="46"/>
      <c r="M73" s="46"/>
      <c r="N73" s="46"/>
      <c r="O73" s="46"/>
      <c r="V73" s="47"/>
      <c r="W73" s="57"/>
      <c r="AF73" s="46"/>
    </row>
    <row r="74" spans="1:32" ht="13.5" thickBot="1" x14ac:dyDescent="0.25">
      <c r="A74" s="2"/>
      <c r="B74" s="4" t="s">
        <v>173</v>
      </c>
      <c r="C74" s="50"/>
      <c r="G74" s="46"/>
      <c r="H74" s="46"/>
      <c r="I74" s="46"/>
      <c r="J74" s="46"/>
      <c r="K74" s="46"/>
      <c r="L74" s="46"/>
      <c r="M74" s="46"/>
      <c r="N74" s="46"/>
      <c r="O74" s="46"/>
      <c r="T74" s="53"/>
      <c r="U74" s="58"/>
      <c r="V74" s="6"/>
      <c r="W74" s="35">
        <f>SUM(V75:V75)</f>
        <v>183067</v>
      </c>
      <c r="AF74" s="46"/>
    </row>
    <row r="75" spans="1:32" x14ac:dyDescent="0.2">
      <c r="A75" s="2"/>
      <c r="B75" s="14" t="s">
        <v>190</v>
      </c>
      <c r="C75" s="50"/>
      <c r="G75" s="46"/>
      <c r="H75" s="46"/>
      <c r="I75" s="46"/>
      <c r="J75" s="46"/>
      <c r="K75" s="46"/>
      <c r="L75" s="46"/>
      <c r="M75" s="46"/>
      <c r="N75" s="46"/>
      <c r="O75" s="46"/>
      <c r="T75" s="23">
        <v>163067</v>
      </c>
      <c r="U75" s="23">
        <v>20000</v>
      </c>
      <c r="V75" s="6">
        <f>SUM(C75:U75)</f>
        <v>183067</v>
      </c>
      <c r="W75" s="16" t="s">
        <v>176</v>
      </c>
      <c r="AF75" s="46"/>
    </row>
    <row r="76" spans="1:32" x14ac:dyDescent="0.2">
      <c r="A76" s="2"/>
      <c r="B76" s="14"/>
      <c r="C76" s="50"/>
      <c r="G76" s="46"/>
      <c r="H76" s="46"/>
      <c r="I76" s="46"/>
      <c r="J76" s="46"/>
      <c r="K76" s="46"/>
      <c r="L76" s="46"/>
      <c r="M76" s="46"/>
      <c r="N76" s="46"/>
      <c r="O76" s="46"/>
      <c r="U76" s="53"/>
      <c r="V76" s="47"/>
      <c r="W76" s="57"/>
      <c r="AF76" s="46"/>
    </row>
    <row r="77" spans="1:32" ht="13.5" thickBot="1" x14ac:dyDescent="0.25">
      <c r="A77" s="2"/>
      <c r="B77" s="14"/>
      <c r="C77" s="50"/>
      <c r="G77" s="46"/>
      <c r="H77" s="46"/>
      <c r="I77" s="46"/>
      <c r="J77" s="46"/>
      <c r="K77" s="46"/>
      <c r="L77" s="46"/>
      <c r="M77" s="46"/>
      <c r="N77" s="46"/>
      <c r="O77" s="46"/>
      <c r="U77" s="53"/>
      <c r="V77" s="47"/>
      <c r="W77" s="57"/>
      <c r="AF77" s="46"/>
    </row>
    <row r="78" spans="1:32" ht="13.5" thickBot="1" x14ac:dyDescent="0.25">
      <c r="A78" s="2"/>
      <c r="B78" s="3" t="s">
        <v>104</v>
      </c>
      <c r="C78" s="50"/>
      <c r="G78" s="46"/>
      <c r="H78" s="46"/>
      <c r="I78" s="46"/>
      <c r="J78" s="46"/>
      <c r="K78" s="46"/>
      <c r="L78" s="46"/>
      <c r="M78" s="46"/>
      <c r="N78" s="46"/>
      <c r="O78" s="46"/>
      <c r="U78" s="53"/>
      <c r="V78" s="6"/>
      <c r="W78" s="35">
        <f>SUM(V79:V83)</f>
        <v>3305787</v>
      </c>
      <c r="AF78" s="46"/>
    </row>
    <row r="79" spans="1:32" x14ac:dyDescent="0.2">
      <c r="A79" s="2"/>
      <c r="B79" s="14" t="s">
        <v>197</v>
      </c>
      <c r="C79" s="50"/>
      <c r="G79" s="15">
        <f>117150+28116</f>
        <v>145266</v>
      </c>
      <c r="H79" s="46"/>
      <c r="I79" s="46"/>
      <c r="J79" s="46"/>
      <c r="K79" s="46"/>
      <c r="L79" s="46"/>
      <c r="M79" s="46"/>
      <c r="N79" s="46"/>
      <c r="O79" s="46"/>
      <c r="U79" s="53"/>
      <c r="V79" s="6">
        <f>SUM(C79:U79)</f>
        <v>145266</v>
      </c>
      <c r="W79" s="16" t="s">
        <v>102</v>
      </c>
      <c r="AF79" s="46"/>
    </row>
    <row r="80" spans="1:32" x14ac:dyDescent="0.2">
      <c r="A80" s="2"/>
      <c r="B80" s="10" t="s">
        <v>103</v>
      </c>
      <c r="C80" s="50"/>
      <c r="G80" s="46"/>
      <c r="H80" s="46"/>
      <c r="I80" s="46"/>
      <c r="J80" s="46"/>
      <c r="K80" s="46"/>
      <c r="L80" s="46"/>
      <c r="M80" s="15">
        <v>926450</v>
      </c>
      <c r="N80" s="46"/>
      <c r="O80" s="46"/>
      <c r="U80" s="53"/>
      <c r="V80" s="6">
        <f>SUM(C80:U80)</f>
        <v>926450</v>
      </c>
      <c r="W80" s="16" t="s">
        <v>102</v>
      </c>
      <c r="AF80" s="46"/>
    </row>
    <row r="81" spans="1:32" x14ac:dyDescent="0.2">
      <c r="A81" s="2"/>
      <c r="B81" s="10" t="s">
        <v>119</v>
      </c>
      <c r="C81" s="50"/>
      <c r="G81" s="46"/>
      <c r="H81" s="46"/>
      <c r="I81" s="46"/>
      <c r="J81" s="46"/>
      <c r="K81" s="46"/>
      <c r="L81" s="46"/>
      <c r="M81" s="15">
        <v>322000</v>
      </c>
      <c r="N81" s="46"/>
      <c r="O81" s="46"/>
      <c r="U81" s="53"/>
      <c r="V81" s="6">
        <f>SUM(C81:U81)</f>
        <v>322000</v>
      </c>
      <c r="W81" s="16" t="s">
        <v>102</v>
      </c>
      <c r="AF81" s="46"/>
    </row>
    <row r="82" spans="1:32" x14ac:dyDescent="0.2">
      <c r="A82" s="2"/>
      <c r="B82" s="10" t="s">
        <v>120</v>
      </c>
      <c r="C82" s="50"/>
      <c r="G82" s="46"/>
      <c r="H82" s="46"/>
      <c r="I82" s="46"/>
      <c r="J82" s="46"/>
      <c r="K82" s="46"/>
      <c r="L82" s="46"/>
      <c r="M82" s="15">
        <f>12130+25400</f>
        <v>37530</v>
      </c>
      <c r="N82" s="46"/>
      <c r="O82" s="46"/>
      <c r="U82" s="53"/>
      <c r="V82" s="6">
        <f>SUM(C82:U82)</f>
        <v>37530</v>
      </c>
      <c r="W82" s="16" t="s">
        <v>102</v>
      </c>
      <c r="AF82" s="46"/>
    </row>
    <row r="83" spans="1:32" x14ac:dyDescent="0.2">
      <c r="A83" s="2"/>
      <c r="B83" s="10" t="s">
        <v>212</v>
      </c>
      <c r="C83" s="50"/>
      <c r="G83" s="46"/>
      <c r="H83" s="46"/>
      <c r="I83" s="46"/>
      <c r="J83" s="46"/>
      <c r="K83" s="46"/>
      <c r="L83" s="46"/>
      <c r="M83" s="46"/>
      <c r="N83" s="46"/>
      <c r="O83" s="46"/>
      <c r="U83" s="23">
        <f>44567+1829974</f>
        <v>1874541</v>
      </c>
      <c r="V83" s="6">
        <f>SUM(C83:U83)</f>
        <v>1874541</v>
      </c>
      <c r="W83" s="16" t="s">
        <v>102</v>
      </c>
      <c r="AF83" s="46"/>
    </row>
    <row r="84" spans="1:32" ht="13.5" thickBot="1" x14ac:dyDescent="0.25">
      <c r="A84" s="2"/>
      <c r="B84" s="14"/>
      <c r="C84" s="50"/>
      <c r="G84" s="46"/>
      <c r="H84" s="46"/>
      <c r="I84" s="46"/>
      <c r="J84" s="46"/>
      <c r="K84" s="46"/>
      <c r="L84" s="46"/>
      <c r="M84" s="46"/>
      <c r="N84" s="46"/>
      <c r="O84" s="46"/>
      <c r="V84" s="47"/>
      <c r="W84" s="57"/>
      <c r="AF84" s="46"/>
    </row>
    <row r="85" spans="1:32" ht="13.5" thickBot="1" x14ac:dyDescent="0.25">
      <c r="A85" s="2"/>
      <c r="B85" s="3" t="s">
        <v>32</v>
      </c>
      <c r="C85" s="46"/>
      <c r="G85" s="46"/>
      <c r="H85" s="46"/>
      <c r="I85" s="46"/>
      <c r="J85" s="46"/>
      <c r="K85" s="46"/>
      <c r="L85" s="46"/>
      <c r="M85" s="46"/>
      <c r="N85" s="46"/>
      <c r="O85" s="46"/>
      <c r="V85" s="6"/>
      <c r="W85" s="35">
        <f>SUM(V86:V87)</f>
        <v>317686</v>
      </c>
      <c r="AF85" s="46"/>
    </row>
    <row r="86" spans="1:32" x14ac:dyDescent="0.2">
      <c r="A86" s="2"/>
      <c r="B86" s="10" t="s">
        <v>211</v>
      </c>
      <c r="C86" s="50"/>
      <c r="G86" s="46"/>
      <c r="H86" s="15">
        <f>150000+40500</f>
        <v>190500</v>
      </c>
      <c r="I86" s="46"/>
      <c r="J86" s="46"/>
      <c r="K86" s="46"/>
      <c r="L86" s="46"/>
      <c r="M86" s="46"/>
      <c r="N86" s="46"/>
      <c r="O86" s="46"/>
      <c r="V86" s="6">
        <f>SUM(C86:U86)</f>
        <v>190500</v>
      </c>
      <c r="W86" s="16" t="s">
        <v>41</v>
      </c>
      <c r="AF86" s="46"/>
    </row>
    <row r="87" spans="1:32" x14ac:dyDescent="0.2">
      <c r="A87" s="2"/>
      <c r="B87" s="10" t="s">
        <v>196</v>
      </c>
      <c r="C87" s="50"/>
      <c r="G87" s="46"/>
      <c r="H87" s="15">
        <f>160000+50853-66667-17000</f>
        <v>127186</v>
      </c>
      <c r="I87" s="46"/>
      <c r="J87" s="46"/>
      <c r="K87" s="46"/>
      <c r="L87" s="46"/>
      <c r="M87" s="46"/>
      <c r="N87" s="46"/>
      <c r="O87" s="46"/>
      <c r="V87" s="6">
        <f>SUM(C87:U87)</f>
        <v>127186</v>
      </c>
      <c r="W87" s="16" t="s">
        <v>41</v>
      </c>
      <c r="AF87" s="46"/>
    </row>
    <row r="88" spans="1:32" x14ac:dyDescent="0.2">
      <c r="A88" s="2"/>
      <c r="C88" s="46"/>
      <c r="G88" s="46"/>
      <c r="H88" s="46"/>
      <c r="I88" s="46"/>
      <c r="J88" s="46"/>
      <c r="K88" s="46"/>
      <c r="L88" s="46"/>
      <c r="M88" s="46"/>
      <c r="N88" s="46"/>
      <c r="O88" s="46"/>
      <c r="V88" s="47"/>
      <c r="W88" s="57"/>
      <c r="AF88" s="46"/>
    </row>
    <row r="89" spans="1:32" ht="13.5" thickBot="1" x14ac:dyDescent="0.25">
      <c r="A89" s="2"/>
      <c r="C89" s="46"/>
      <c r="G89" s="46"/>
      <c r="H89" s="46"/>
      <c r="I89" s="46"/>
      <c r="J89" s="46"/>
      <c r="K89" s="46"/>
      <c r="L89" s="46"/>
      <c r="M89" s="46"/>
      <c r="N89" s="46"/>
      <c r="O89" s="46"/>
      <c r="V89" s="47"/>
      <c r="W89" s="57"/>
      <c r="AF89" s="46"/>
    </row>
    <row r="90" spans="1:32" ht="13.5" thickBot="1" x14ac:dyDescent="0.25">
      <c r="A90" s="2"/>
      <c r="B90" s="4" t="s">
        <v>37</v>
      </c>
      <c r="C90" s="50"/>
      <c r="G90" s="46"/>
      <c r="H90" s="46"/>
      <c r="I90" s="46"/>
      <c r="J90" s="46"/>
      <c r="K90" s="46"/>
      <c r="L90" s="46"/>
      <c r="M90" s="46"/>
      <c r="N90" s="46"/>
      <c r="O90" s="46"/>
      <c r="V90" s="6"/>
      <c r="W90" s="35">
        <f>SUM(V91:V97)</f>
        <v>1923667.57</v>
      </c>
      <c r="AF90" s="46"/>
    </row>
    <row r="91" spans="1:32" x14ac:dyDescent="0.2">
      <c r="A91" s="2"/>
      <c r="B91" s="14" t="s">
        <v>143</v>
      </c>
      <c r="C91" s="50"/>
      <c r="G91" s="46"/>
      <c r="H91" s="46"/>
      <c r="I91" s="46"/>
      <c r="J91" s="46"/>
      <c r="K91" s="60"/>
      <c r="L91" s="46"/>
      <c r="M91" s="46"/>
      <c r="N91" s="46"/>
      <c r="O91" s="46"/>
      <c r="P91" s="15">
        <v>189435</v>
      </c>
      <c r="V91" s="6">
        <f t="shared" ref="V91:V96" si="1">SUM(C91:U91)</f>
        <v>189435</v>
      </c>
      <c r="W91" s="16" t="s">
        <v>29</v>
      </c>
      <c r="AF91" s="46"/>
    </row>
    <row r="92" spans="1:32" x14ac:dyDescent="0.2">
      <c r="A92" s="2"/>
      <c r="B92" s="10" t="s">
        <v>145</v>
      </c>
      <c r="C92" s="50"/>
      <c r="G92" s="46"/>
      <c r="H92" s="46"/>
      <c r="L92" s="46"/>
      <c r="O92" s="46"/>
      <c r="P92" s="15">
        <v>770</v>
      </c>
      <c r="V92" s="6">
        <f t="shared" si="1"/>
        <v>770</v>
      </c>
      <c r="W92" s="16" t="s">
        <v>29</v>
      </c>
      <c r="AF92" s="46"/>
    </row>
    <row r="93" spans="1:32" x14ac:dyDescent="0.2">
      <c r="A93" s="2"/>
      <c r="B93" s="24" t="s">
        <v>155</v>
      </c>
      <c r="C93" s="50"/>
      <c r="G93" s="46"/>
      <c r="H93" s="46"/>
      <c r="L93" s="46"/>
      <c r="O93" s="46"/>
      <c r="P93" s="15">
        <v>47015</v>
      </c>
      <c r="V93" s="6">
        <f t="shared" si="1"/>
        <v>47015</v>
      </c>
      <c r="W93" s="16" t="s">
        <v>29</v>
      </c>
      <c r="AF93" s="46"/>
    </row>
    <row r="94" spans="1:32" x14ac:dyDescent="0.2">
      <c r="A94" s="2"/>
      <c r="B94" s="10" t="s">
        <v>144</v>
      </c>
      <c r="C94" s="50"/>
      <c r="G94" s="46"/>
      <c r="H94" s="46"/>
      <c r="O94" s="46"/>
      <c r="P94" s="15">
        <v>6420</v>
      </c>
      <c r="U94" s="58"/>
      <c r="V94" s="6">
        <f t="shared" si="1"/>
        <v>6420</v>
      </c>
      <c r="W94" s="16" t="s">
        <v>29</v>
      </c>
      <c r="AF94" s="46"/>
    </row>
    <row r="95" spans="1:32" x14ac:dyDescent="0.2">
      <c r="A95" s="2"/>
      <c r="B95" s="10" t="s">
        <v>180</v>
      </c>
      <c r="C95" s="50"/>
      <c r="G95" s="46"/>
      <c r="H95" s="46"/>
      <c r="O95" s="46"/>
      <c r="P95" s="46"/>
      <c r="U95" s="23">
        <v>19358</v>
      </c>
      <c r="V95" s="6">
        <f t="shared" si="1"/>
        <v>19358</v>
      </c>
      <c r="W95" s="16" t="s">
        <v>29</v>
      </c>
      <c r="AF95" s="46"/>
    </row>
    <row r="96" spans="1:32" x14ac:dyDescent="0.2">
      <c r="A96" s="2"/>
      <c r="B96" s="13" t="s">
        <v>187</v>
      </c>
      <c r="C96" s="50"/>
      <c r="G96" s="46"/>
      <c r="H96" s="46"/>
      <c r="O96" s="46"/>
      <c r="Q96" s="15">
        <f>126920+66400</f>
        <v>193320</v>
      </c>
      <c r="R96" s="15">
        <v>744609</v>
      </c>
      <c r="S96" s="53"/>
      <c r="T96" s="53"/>
      <c r="U96" s="53"/>
      <c r="V96" s="6">
        <f t="shared" si="1"/>
        <v>937929</v>
      </c>
      <c r="W96" s="16" t="s">
        <v>29</v>
      </c>
      <c r="Y96" s="46"/>
      <c r="AF96" s="46"/>
    </row>
    <row r="97" spans="1:32" x14ac:dyDescent="0.2">
      <c r="A97" s="2"/>
      <c r="B97" s="10" t="s">
        <v>203</v>
      </c>
      <c r="C97" s="50"/>
      <c r="G97" s="46"/>
      <c r="H97" s="46"/>
      <c r="O97" s="46"/>
      <c r="P97" s="46"/>
      <c r="S97" s="23">
        <f>9147.57+269873</f>
        <v>279020.57</v>
      </c>
      <c r="T97" s="23">
        <v>343053</v>
      </c>
      <c r="U97" s="23">
        <v>100667</v>
      </c>
      <c r="V97" s="6">
        <f>SUM(C97:U97)</f>
        <v>722740.57000000007</v>
      </c>
      <c r="W97" s="16" t="s">
        <v>29</v>
      </c>
      <c r="AF97" s="46"/>
    </row>
    <row r="98" spans="1:32" ht="13.5" thickBot="1" x14ac:dyDescent="0.25">
      <c r="A98" s="2"/>
      <c r="C98" s="50"/>
      <c r="G98" s="46"/>
      <c r="H98" s="46"/>
      <c r="O98" s="46"/>
      <c r="P98" s="46"/>
      <c r="V98" s="47"/>
      <c r="AF98" s="46"/>
    </row>
    <row r="99" spans="1:32" ht="13.5" thickBot="1" x14ac:dyDescent="0.25">
      <c r="A99" s="2"/>
      <c r="B99" s="3" t="s">
        <v>58</v>
      </c>
      <c r="C99" s="50"/>
      <c r="G99" s="46"/>
      <c r="H99" s="46"/>
      <c r="O99" s="46"/>
      <c r="P99" s="46"/>
      <c r="V99" s="6"/>
      <c r="W99" s="35">
        <f>V100</f>
        <v>20253.25</v>
      </c>
      <c r="AF99" s="46"/>
    </row>
    <row r="100" spans="1:32" x14ac:dyDescent="0.2">
      <c r="A100" s="2"/>
      <c r="B100" s="14" t="s">
        <v>77</v>
      </c>
      <c r="C100" s="50"/>
      <c r="G100" s="46"/>
      <c r="H100" s="46"/>
      <c r="I100" s="15">
        <f>36128*0.25</f>
        <v>9032</v>
      </c>
      <c r="J100" s="15">
        <f>44885*0.25</f>
        <v>11221.25</v>
      </c>
      <c r="K100" s="46"/>
      <c r="O100" s="46"/>
      <c r="V100" s="6">
        <f>SUM(C100:U100)</f>
        <v>20253.25</v>
      </c>
      <c r="W100" s="16" t="s">
        <v>72</v>
      </c>
      <c r="AF100" s="46"/>
    </row>
    <row r="101" spans="1:32" x14ac:dyDescent="0.2">
      <c r="A101" s="2"/>
      <c r="B101" s="14"/>
      <c r="C101" s="50"/>
      <c r="G101" s="46"/>
      <c r="H101" s="46"/>
      <c r="I101" s="46"/>
      <c r="J101" s="46"/>
      <c r="K101" s="46"/>
      <c r="O101" s="46"/>
      <c r="V101" s="47"/>
      <c r="AF101" s="46"/>
    </row>
    <row r="102" spans="1:32" ht="13.5" thickBot="1" x14ac:dyDescent="0.25">
      <c r="A102" s="2"/>
      <c r="B102" s="14"/>
      <c r="C102" s="50"/>
      <c r="G102" s="46"/>
      <c r="H102" s="46"/>
      <c r="I102" s="46"/>
      <c r="J102" s="46"/>
      <c r="K102" s="46"/>
      <c r="O102" s="46"/>
      <c r="V102" s="47"/>
      <c r="W102" s="57"/>
      <c r="AF102" s="46"/>
    </row>
    <row r="103" spans="1:32" ht="13.5" thickBot="1" x14ac:dyDescent="0.25">
      <c r="A103" s="2"/>
      <c r="B103" s="3" t="s">
        <v>40</v>
      </c>
      <c r="C103" s="46"/>
      <c r="G103" s="46"/>
      <c r="H103" s="46"/>
      <c r="I103" s="46"/>
      <c r="J103" s="46"/>
      <c r="K103" s="46"/>
      <c r="O103" s="46"/>
      <c r="V103" s="6"/>
      <c r="W103" s="35">
        <f>SUM(V104:V106)</f>
        <v>931644</v>
      </c>
      <c r="AF103" s="46"/>
    </row>
    <row r="104" spans="1:32" x14ac:dyDescent="0.2">
      <c r="A104" s="2"/>
      <c r="B104" s="14" t="s">
        <v>200</v>
      </c>
      <c r="C104" s="50"/>
      <c r="G104" s="46"/>
      <c r="H104" s="15">
        <f>575000+182754</f>
        <v>757754</v>
      </c>
      <c r="I104" s="46"/>
      <c r="J104" s="46"/>
      <c r="K104" s="46"/>
      <c r="O104" s="46"/>
      <c r="V104" s="6">
        <f>SUM(C104:U104)</f>
        <v>757754</v>
      </c>
      <c r="W104" s="16" t="s">
        <v>51</v>
      </c>
      <c r="AF104" s="46"/>
    </row>
    <row r="105" spans="1:32" x14ac:dyDescent="0.2">
      <c r="A105" s="2"/>
      <c r="B105" s="14" t="s">
        <v>71</v>
      </c>
      <c r="C105" s="50"/>
      <c r="G105" s="46"/>
      <c r="H105" s="15">
        <f>105738+33607</f>
        <v>139345</v>
      </c>
      <c r="I105" s="46"/>
      <c r="J105" s="46"/>
      <c r="K105" s="46"/>
      <c r="O105" s="46"/>
      <c r="V105" s="6">
        <f>SUM(C105:U105)</f>
        <v>139345</v>
      </c>
      <c r="W105" s="16" t="s">
        <v>51</v>
      </c>
      <c r="AF105" s="46"/>
    </row>
    <row r="106" spans="1:32" x14ac:dyDescent="0.2">
      <c r="A106" s="2"/>
      <c r="B106" s="14" t="s">
        <v>140</v>
      </c>
      <c r="C106" s="50"/>
      <c r="G106" s="46"/>
      <c r="H106" s="46"/>
      <c r="I106" s="46"/>
      <c r="J106" s="46"/>
      <c r="K106" s="46"/>
      <c r="O106" s="80">
        <v>34545</v>
      </c>
      <c r="V106" s="6">
        <f>SUM(C106:U106)</f>
        <v>34545</v>
      </c>
      <c r="W106" s="16" t="s">
        <v>51</v>
      </c>
      <c r="AF106" s="46"/>
    </row>
    <row r="107" spans="1:32" x14ac:dyDescent="0.2">
      <c r="A107" s="2"/>
      <c r="B107" s="14"/>
      <c r="C107" s="50"/>
      <c r="G107" s="46"/>
      <c r="H107" s="46"/>
      <c r="I107" s="46"/>
      <c r="J107" s="46"/>
      <c r="K107" s="46"/>
      <c r="O107" s="46"/>
      <c r="V107" s="47"/>
      <c r="W107" s="57"/>
      <c r="AF107" s="46"/>
    </row>
    <row r="108" spans="1:32" ht="13.5" thickBot="1" x14ac:dyDescent="0.25">
      <c r="A108" s="2"/>
      <c r="B108" s="14"/>
      <c r="C108" s="50"/>
      <c r="G108" s="46"/>
      <c r="H108" s="46"/>
      <c r="I108" s="46"/>
      <c r="J108" s="46"/>
      <c r="K108" s="46"/>
      <c r="O108" s="46"/>
      <c r="V108" s="47"/>
      <c r="W108" s="57"/>
      <c r="AF108" s="46"/>
    </row>
    <row r="109" spans="1:32" ht="13.5" thickBot="1" x14ac:dyDescent="0.25">
      <c r="A109" s="2"/>
      <c r="B109" s="4" t="s">
        <v>81</v>
      </c>
      <c r="C109" s="50"/>
      <c r="G109" s="46"/>
      <c r="H109" s="46"/>
      <c r="I109" s="46"/>
      <c r="J109" s="46"/>
      <c r="K109" s="46"/>
      <c r="O109" s="46"/>
      <c r="V109" s="6"/>
      <c r="W109" s="35">
        <f>V110</f>
        <v>252440</v>
      </c>
      <c r="AF109" s="46"/>
    </row>
    <row r="110" spans="1:32" x14ac:dyDescent="0.2">
      <c r="A110" s="2"/>
      <c r="B110" s="14" t="s">
        <v>113</v>
      </c>
      <c r="C110" s="50"/>
      <c r="G110" s="46"/>
      <c r="H110" s="46"/>
      <c r="I110" s="46"/>
      <c r="J110" s="15">
        <v>252440</v>
      </c>
      <c r="K110" s="46"/>
      <c r="O110" s="46"/>
      <c r="V110" s="6">
        <f>SUM(C110:U110)</f>
        <v>252440</v>
      </c>
      <c r="W110" s="16" t="s">
        <v>82</v>
      </c>
      <c r="AF110" s="46"/>
    </row>
    <row r="111" spans="1:32" x14ac:dyDescent="0.2">
      <c r="A111" s="2"/>
      <c r="B111" s="74"/>
      <c r="C111" s="50"/>
      <c r="G111" s="46"/>
      <c r="H111" s="61"/>
      <c r="I111" s="46"/>
      <c r="J111" s="46"/>
      <c r="K111" s="46"/>
      <c r="O111" s="46"/>
      <c r="V111" s="47"/>
      <c r="W111" s="57"/>
      <c r="AF111" s="46"/>
    </row>
    <row r="112" spans="1:32" x14ac:dyDescent="0.2">
      <c r="A112" s="2"/>
      <c r="B112" s="14"/>
      <c r="C112" s="50"/>
      <c r="G112" s="46"/>
      <c r="H112" s="46"/>
      <c r="I112" s="46"/>
      <c r="J112" s="46"/>
      <c r="K112" s="46"/>
      <c r="O112" s="46"/>
      <c r="V112" s="47"/>
      <c r="W112" s="57"/>
      <c r="AF112" s="46"/>
    </row>
    <row r="113" spans="1:32" s="49" customFormat="1" x14ac:dyDescent="0.2">
      <c r="A113" s="2"/>
      <c r="B113" s="14" t="s">
        <v>11</v>
      </c>
      <c r="C113" s="50"/>
      <c r="D113" s="46"/>
      <c r="E113" s="15">
        <v>1501.52</v>
      </c>
      <c r="F113" s="15">
        <f>-E113</f>
        <v>-1501.52</v>
      </c>
      <c r="G113" s="46"/>
      <c r="H113" s="46"/>
      <c r="I113" s="46"/>
      <c r="J113" s="46"/>
      <c r="K113" s="46"/>
      <c r="L113" s="47"/>
      <c r="M113" s="47"/>
      <c r="N113" s="47"/>
      <c r="O113" s="46"/>
      <c r="P113" s="47"/>
      <c r="Q113" s="47"/>
      <c r="R113" s="47"/>
      <c r="S113" s="48"/>
      <c r="T113" s="48"/>
      <c r="U113" s="48"/>
      <c r="V113" s="47"/>
      <c r="W113" s="57"/>
      <c r="X113" s="10"/>
      <c r="AF113" s="46"/>
    </row>
    <row r="114" spans="1:32" s="49" customFormat="1" x14ac:dyDescent="0.2">
      <c r="A114" s="2"/>
      <c r="B114" s="14"/>
      <c r="C114" s="50"/>
      <c r="D114" s="46"/>
      <c r="E114" s="46"/>
      <c r="F114" s="46"/>
      <c r="G114" s="46"/>
      <c r="H114" s="46"/>
      <c r="I114" s="46"/>
      <c r="J114" s="46"/>
      <c r="K114" s="46"/>
      <c r="L114" s="47"/>
      <c r="M114" s="47"/>
      <c r="N114" s="47"/>
      <c r="O114" s="46"/>
      <c r="P114" s="47"/>
      <c r="Q114" s="47"/>
      <c r="R114" s="47"/>
      <c r="S114" s="48"/>
      <c r="T114" s="48"/>
      <c r="U114" s="48"/>
      <c r="V114" s="47"/>
      <c r="W114" s="57"/>
      <c r="X114" s="10"/>
      <c r="AF114" s="46"/>
    </row>
    <row r="115" spans="1:32" s="49" customFormat="1" ht="13.5" thickBot="1" x14ac:dyDescent="0.25">
      <c r="A115" s="2"/>
      <c r="B115" s="14"/>
      <c r="C115" s="50"/>
      <c r="D115" s="46"/>
      <c r="E115" s="46"/>
      <c r="F115" s="46"/>
      <c r="G115" s="46"/>
      <c r="H115" s="46"/>
      <c r="I115" s="46"/>
      <c r="J115" s="46"/>
      <c r="K115" s="46"/>
      <c r="L115" s="47"/>
      <c r="M115" s="47"/>
      <c r="N115" s="47"/>
      <c r="O115" s="46"/>
      <c r="P115" s="47"/>
      <c r="Q115" s="47"/>
      <c r="R115" s="47"/>
      <c r="S115" s="48"/>
      <c r="T115" s="48"/>
      <c r="U115" s="48"/>
      <c r="V115" s="47"/>
      <c r="W115" s="57"/>
      <c r="X115" s="10"/>
      <c r="AF115" s="46"/>
    </row>
    <row r="116" spans="1:32" s="49" customFormat="1" ht="13.5" thickBot="1" x14ac:dyDescent="0.25">
      <c r="A116" s="2"/>
      <c r="B116" s="3" t="s">
        <v>36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7"/>
      <c r="M116" s="47"/>
      <c r="N116" s="47"/>
      <c r="O116" s="46"/>
      <c r="P116" s="47"/>
      <c r="Q116" s="47"/>
      <c r="R116" s="47"/>
      <c r="S116" s="48"/>
      <c r="T116" s="48"/>
      <c r="U116" s="48"/>
      <c r="V116" s="6"/>
      <c r="W116" s="35">
        <f>SUM(V117:V121)</f>
        <v>467479.55488000001</v>
      </c>
      <c r="X116" s="10"/>
      <c r="AF116" s="46"/>
    </row>
    <row r="117" spans="1:32" s="49" customFormat="1" x14ac:dyDescent="0.2">
      <c r="A117" s="2"/>
      <c r="B117" s="14" t="s">
        <v>5</v>
      </c>
      <c r="C117" s="50"/>
      <c r="D117" s="46"/>
      <c r="E117" s="15">
        <v>938.95</v>
      </c>
      <c r="F117" s="46">
        <f>E113*0.069</f>
        <v>103.60488000000001</v>
      </c>
      <c r="G117" s="46"/>
      <c r="H117" s="60"/>
      <c r="I117" s="60"/>
      <c r="J117" s="60"/>
      <c r="K117" s="60"/>
      <c r="L117" s="62"/>
      <c r="M117" s="62"/>
      <c r="N117" s="62"/>
      <c r="O117" s="60"/>
      <c r="P117" s="62"/>
      <c r="Q117" s="62"/>
      <c r="R117" s="62"/>
      <c r="S117" s="63"/>
      <c r="T117" s="63"/>
      <c r="U117" s="63"/>
      <c r="V117" s="6">
        <f>SUM(C117:U117)</f>
        <v>1042.5548800000001</v>
      </c>
      <c r="W117" s="16" t="s">
        <v>54</v>
      </c>
      <c r="X117" s="10"/>
      <c r="AF117" s="46"/>
    </row>
    <row r="118" spans="1:32" s="49" customFormat="1" x14ac:dyDescent="0.2">
      <c r="A118" s="2"/>
      <c r="B118" s="14" t="s">
        <v>18</v>
      </c>
      <c r="C118" s="50"/>
      <c r="D118" s="46"/>
      <c r="E118" s="46"/>
      <c r="F118" s="46"/>
      <c r="G118" s="15">
        <f>101618+24388</f>
        <v>126006</v>
      </c>
      <c r="H118" s="46"/>
      <c r="I118" s="46"/>
      <c r="J118" s="46"/>
      <c r="K118" s="46"/>
      <c r="L118" s="47"/>
      <c r="M118" s="47"/>
      <c r="N118" s="47"/>
      <c r="O118" s="46"/>
      <c r="P118" s="47"/>
      <c r="Q118" s="47"/>
      <c r="R118" s="47"/>
      <c r="S118" s="48"/>
      <c r="T118" s="48"/>
      <c r="U118" s="48"/>
      <c r="V118" s="6">
        <f>SUM(C118:U118)</f>
        <v>126006</v>
      </c>
      <c r="W118" s="16" t="s">
        <v>54</v>
      </c>
      <c r="X118" s="10"/>
      <c r="AF118" s="46"/>
    </row>
    <row r="119" spans="1:32" s="49" customFormat="1" x14ac:dyDescent="0.2">
      <c r="A119" s="2"/>
      <c r="B119" s="14" t="s">
        <v>121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7"/>
      <c r="M119" s="47"/>
      <c r="N119" s="47"/>
      <c r="O119" s="80">
        <v>245490</v>
      </c>
      <c r="P119" s="47"/>
      <c r="Q119" s="47"/>
      <c r="R119" s="47"/>
      <c r="S119" s="48"/>
      <c r="T119" s="48"/>
      <c r="U119" s="48"/>
      <c r="V119" s="6">
        <f>SUM(C119:U119)</f>
        <v>245490</v>
      </c>
      <c r="W119" s="16" t="s">
        <v>54</v>
      </c>
      <c r="X119" s="10"/>
      <c r="AF119" s="46"/>
    </row>
    <row r="120" spans="1:32" s="49" customFormat="1" x14ac:dyDescent="0.2">
      <c r="A120" s="2"/>
      <c r="B120" s="13" t="s">
        <v>160</v>
      </c>
      <c r="C120" s="50"/>
      <c r="D120" s="46"/>
      <c r="E120" s="46"/>
      <c r="F120" s="46"/>
      <c r="G120" s="46"/>
      <c r="H120" s="46"/>
      <c r="I120" s="46"/>
      <c r="J120" s="46"/>
      <c r="K120" s="46"/>
      <c r="L120" s="47"/>
      <c r="M120" s="47"/>
      <c r="N120" s="47"/>
      <c r="O120" s="46"/>
      <c r="P120" s="47"/>
      <c r="Q120" s="47"/>
      <c r="R120" s="15">
        <v>44500</v>
      </c>
      <c r="S120" s="53"/>
      <c r="T120" s="53"/>
      <c r="U120" s="53"/>
      <c r="V120" s="6">
        <f>SUM(C120:U120)</f>
        <v>44500</v>
      </c>
      <c r="W120" s="16" t="s">
        <v>54</v>
      </c>
      <c r="X120" s="10"/>
      <c r="Y120" s="46"/>
      <c r="AF120" s="46"/>
    </row>
    <row r="121" spans="1:32" s="49" customFormat="1" x14ac:dyDescent="0.2">
      <c r="A121" s="2"/>
      <c r="B121" s="13" t="s">
        <v>161</v>
      </c>
      <c r="C121" s="50"/>
      <c r="D121" s="46"/>
      <c r="E121" s="46"/>
      <c r="F121" s="46"/>
      <c r="G121" s="46"/>
      <c r="H121" s="46"/>
      <c r="I121" s="46"/>
      <c r="J121" s="46"/>
      <c r="K121" s="46"/>
      <c r="L121" s="47"/>
      <c r="M121" s="47"/>
      <c r="N121" s="47"/>
      <c r="O121" s="46"/>
      <c r="P121" s="47"/>
      <c r="Q121" s="47"/>
      <c r="R121" s="15">
        <v>50441</v>
      </c>
      <c r="S121" s="53"/>
      <c r="T121" s="53"/>
      <c r="U121" s="53"/>
      <c r="V121" s="6">
        <f>SUM(C121:U121)</f>
        <v>50441</v>
      </c>
      <c r="W121" s="16" t="s">
        <v>54</v>
      </c>
      <c r="X121" s="10"/>
      <c r="Y121" s="46"/>
      <c r="AF121" s="46"/>
    </row>
    <row r="122" spans="1:32" s="49" customFormat="1" x14ac:dyDescent="0.2">
      <c r="A122" s="2"/>
      <c r="B122" s="13"/>
      <c r="C122" s="50"/>
      <c r="D122" s="46"/>
      <c r="E122" s="46"/>
      <c r="F122" s="46"/>
      <c r="G122" s="46"/>
      <c r="H122" s="46"/>
      <c r="I122" s="46"/>
      <c r="J122" s="46"/>
      <c r="K122" s="46"/>
      <c r="L122" s="47"/>
      <c r="M122" s="47"/>
      <c r="N122" s="47"/>
      <c r="O122" s="46"/>
      <c r="P122" s="47"/>
      <c r="Q122" s="47"/>
      <c r="R122" s="46"/>
      <c r="S122" s="53"/>
      <c r="T122" s="53"/>
      <c r="U122" s="53"/>
      <c r="V122" s="47"/>
      <c r="W122" s="57"/>
      <c r="X122" s="10"/>
      <c r="Y122" s="46"/>
      <c r="AF122" s="46"/>
    </row>
    <row r="123" spans="1:32" s="49" customFormat="1" ht="13.5" thickBot="1" x14ac:dyDescent="0.25">
      <c r="A123" s="2"/>
      <c r="B123" s="14"/>
      <c r="C123" s="50"/>
      <c r="D123" s="46"/>
      <c r="E123" s="46"/>
      <c r="F123" s="46"/>
      <c r="G123" s="46"/>
      <c r="H123" s="46"/>
      <c r="I123" s="46"/>
      <c r="J123" s="46"/>
      <c r="K123" s="46"/>
      <c r="L123" s="47"/>
      <c r="M123" s="47"/>
      <c r="N123" s="47"/>
      <c r="O123" s="46"/>
      <c r="P123" s="47"/>
      <c r="Q123" s="47"/>
      <c r="R123" s="47"/>
      <c r="S123" s="48"/>
      <c r="T123" s="48"/>
      <c r="U123" s="48"/>
      <c r="V123" s="47"/>
      <c r="W123" s="57"/>
      <c r="X123" s="10"/>
      <c r="Y123" s="46"/>
      <c r="AF123" s="46"/>
    </row>
    <row r="124" spans="1:32" s="49" customFormat="1" ht="13.5" thickBot="1" x14ac:dyDescent="0.25">
      <c r="A124" s="2"/>
      <c r="B124" s="4" t="s">
        <v>35</v>
      </c>
      <c r="C124" s="50"/>
      <c r="D124" s="46"/>
      <c r="E124" s="46"/>
      <c r="F124" s="46"/>
      <c r="G124" s="46"/>
      <c r="H124" s="46"/>
      <c r="I124" s="46"/>
      <c r="J124" s="46"/>
      <c r="K124" s="46"/>
      <c r="L124" s="47"/>
      <c r="M124" s="47"/>
      <c r="N124" s="47"/>
      <c r="O124" s="46"/>
      <c r="P124" s="47"/>
      <c r="Q124" s="47"/>
      <c r="R124" s="47"/>
      <c r="S124" s="48"/>
      <c r="T124" s="48"/>
      <c r="U124" s="48"/>
      <c r="V124" s="6"/>
      <c r="W124" s="35">
        <f>SUM(V125:V132)</f>
        <v>1710243.02168</v>
      </c>
      <c r="X124" s="13"/>
      <c r="Y124" s="44"/>
      <c r="AF124" s="46"/>
    </row>
    <row r="125" spans="1:32" s="49" customFormat="1" x14ac:dyDescent="0.2">
      <c r="A125" s="2"/>
      <c r="B125" s="14" t="s">
        <v>7</v>
      </c>
      <c r="C125" s="50"/>
      <c r="D125" s="46"/>
      <c r="E125" s="15">
        <v>1287.28</v>
      </c>
      <c r="F125" s="46">
        <f>E113*0.159</f>
        <v>238.74168</v>
      </c>
      <c r="G125" s="46"/>
      <c r="H125" s="46"/>
      <c r="I125" s="46"/>
      <c r="J125" s="46"/>
      <c r="K125" s="46"/>
      <c r="L125" s="47"/>
      <c r="M125" s="47"/>
      <c r="N125" s="47"/>
      <c r="O125" s="46"/>
      <c r="P125" s="47"/>
      <c r="Q125" s="47"/>
      <c r="R125" s="47"/>
      <c r="S125" s="48"/>
      <c r="T125" s="48"/>
      <c r="U125" s="48"/>
      <c r="V125" s="6">
        <f>SUM(C125:U125)</f>
        <v>1526.0216800000001</v>
      </c>
      <c r="W125" s="16" t="s">
        <v>55</v>
      </c>
      <c r="X125" s="11"/>
      <c r="Y125" s="44"/>
      <c r="AF125" s="46"/>
    </row>
    <row r="126" spans="1:32" s="49" customFormat="1" x14ac:dyDescent="0.2">
      <c r="A126" s="2"/>
      <c r="B126" s="14" t="s">
        <v>22</v>
      </c>
      <c r="C126" s="50"/>
      <c r="D126" s="46"/>
      <c r="E126" s="46"/>
      <c r="F126" s="46"/>
      <c r="G126" s="15">
        <f>126050+30252</f>
        <v>156302</v>
      </c>
      <c r="H126" s="46"/>
      <c r="I126" s="46"/>
      <c r="J126" s="46"/>
      <c r="K126" s="46"/>
      <c r="L126" s="47"/>
      <c r="M126" s="47"/>
      <c r="N126" s="47"/>
      <c r="O126" s="46"/>
      <c r="P126" s="47"/>
      <c r="Q126" s="47"/>
      <c r="R126" s="47"/>
      <c r="S126" s="48"/>
      <c r="T126" s="48"/>
      <c r="U126" s="48"/>
      <c r="V126" s="6">
        <f>SUM(C126:U126)</f>
        <v>156302</v>
      </c>
      <c r="W126" s="16" t="s">
        <v>55</v>
      </c>
      <c r="X126" s="11"/>
      <c r="Y126" s="44"/>
      <c r="AF126" s="46"/>
    </row>
    <row r="127" spans="1:32" s="49" customFormat="1" x14ac:dyDescent="0.2">
      <c r="A127" s="2"/>
      <c r="B127" s="14" t="s">
        <v>110</v>
      </c>
      <c r="C127" s="50"/>
      <c r="D127" s="46"/>
      <c r="E127" s="46"/>
      <c r="F127" s="46"/>
      <c r="G127" s="15">
        <f>50000+12000</f>
        <v>62000</v>
      </c>
      <c r="H127" s="46"/>
      <c r="I127" s="46"/>
      <c r="J127" s="46"/>
      <c r="K127" s="46"/>
      <c r="L127" s="47"/>
      <c r="M127" s="47"/>
      <c r="N127" s="47"/>
      <c r="O127" s="46"/>
      <c r="P127" s="47"/>
      <c r="Q127" s="47"/>
      <c r="R127" s="47"/>
      <c r="S127" s="48"/>
      <c r="T127" s="48"/>
      <c r="U127" s="48"/>
      <c r="V127" s="6">
        <f>SUM(C127:U127)</f>
        <v>62000</v>
      </c>
      <c r="W127" s="16" t="s">
        <v>55</v>
      </c>
      <c r="X127" s="11"/>
      <c r="Y127" s="44"/>
      <c r="AF127" s="46"/>
    </row>
    <row r="128" spans="1:32" s="49" customFormat="1" x14ac:dyDescent="0.2">
      <c r="A128" s="2"/>
      <c r="B128" s="10" t="s">
        <v>75</v>
      </c>
      <c r="C128" s="50"/>
      <c r="D128" s="46"/>
      <c r="E128" s="46"/>
      <c r="F128" s="46"/>
      <c r="G128" s="46"/>
      <c r="H128" s="15">
        <f>191650+51746</f>
        <v>243396</v>
      </c>
      <c r="I128" s="46"/>
      <c r="J128" s="46"/>
      <c r="K128" s="46"/>
      <c r="L128" s="47"/>
      <c r="M128" s="47"/>
      <c r="N128" s="47"/>
      <c r="O128" s="46"/>
      <c r="P128" s="47"/>
      <c r="Q128" s="47"/>
      <c r="R128" s="47"/>
      <c r="S128" s="48"/>
      <c r="T128" s="48"/>
      <c r="U128" s="48"/>
      <c r="V128" s="6">
        <f>SUM(C128:U128)</f>
        <v>243396</v>
      </c>
      <c r="W128" s="16" t="s">
        <v>55</v>
      </c>
      <c r="X128" s="11"/>
      <c r="Y128" s="44"/>
      <c r="AF128" s="46"/>
    </row>
    <row r="129" spans="1:32" s="49" customFormat="1" x14ac:dyDescent="0.2">
      <c r="A129" s="2"/>
      <c r="B129" s="14" t="s">
        <v>111</v>
      </c>
      <c r="C129" s="46"/>
      <c r="D129" s="46"/>
      <c r="E129" s="46"/>
      <c r="F129" s="46"/>
      <c r="G129" s="46"/>
      <c r="H129" s="46"/>
      <c r="I129" s="15">
        <v>296252</v>
      </c>
      <c r="J129" s="46"/>
      <c r="K129" s="46"/>
      <c r="L129" s="47"/>
      <c r="M129" s="47"/>
      <c r="N129" s="47"/>
      <c r="O129" s="46"/>
      <c r="P129" s="47"/>
      <c r="Q129" s="47"/>
      <c r="R129" s="47"/>
      <c r="S129" s="48"/>
      <c r="T129" s="48"/>
      <c r="U129" s="48"/>
      <c r="V129" s="6">
        <f>SUM(C129:U129)</f>
        <v>296252</v>
      </c>
      <c r="W129" s="16" t="s">
        <v>55</v>
      </c>
      <c r="X129" s="9"/>
      <c r="Y129" s="44"/>
      <c r="AF129" s="46"/>
    </row>
    <row r="130" spans="1:32" s="49" customFormat="1" x14ac:dyDescent="0.2">
      <c r="A130" s="2"/>
      <c r="B130" s="14" t="s">
        <v>138</v>
      </c>
      <c r="C130" s="50"/>
      <c r="D130" s="46"/>
      <c r="E130" s="46"/>
      <c r="F130" s="46"/>
      <c r="G130" s="46"/>
      <c r="H130" s="46"/>
      <c r="I130" s="46"/>
      <c r="J130" s="46"/>
      <c r="K130" s="46"/>
      <c r="L130" s="47"/>
      <c r="M130" s="47"/>
      <c r="N130" s="47"/>
      <c r="O130" s="46"/>
      <c r="P130" s="64"/>
      <c r="Q130" s="64"/>
      <c r="R130" s="64"/>
      <c r="S130" s="65"/>
      <c r="T130" s="65"/>
      <c r="U130" s="65"/>
      <c r="V130" s="83">
        <v>-167233</v>
      </c>
      <c r="W130" s="16" t="s">
        <v>55</v>
      </c>
      <c r="X130" s="11"/>
      <c r="Y130" s="44"/>
      <c r="AF130" s="46"/>
    </row>
    <row r="131" spans="1:32" s="49" customFormat="1" x14ac:dyDescent="0.2">
      <c r="A131" s="2"/>
      <c r="B131" s="14" t="s">
        <v>139</v>
      </c>
      <c r="C131" s="50"/>
      <c r="D131" s="46"/>
      <c r="E131" s="46"/>
      <c r="F131" s="46"/>
      <c r="G131" s="46"/>
      <c r="H131" s="46"/>
      <c r="I131" s="46"/>
      <c r="J131" s="46"/>
      <c r="K131" s="46"/>
      <c r="L131" s="47"/>
      <c r="M131" s="47"/>
      <c r="N131" s="47"/>
      <c r="O131" s="46"/>
      <c r="P131" s="64"/>
      <c r="Q131" s="15">
        <v>768000</v>
      </c>
      <c r="R131" s="47"/>
      <c r="S131" s="48"/>
      <c r="T131" s="48"/>
      <c r="U131" s="48"/>
      <c r="V131" s="6">
        <f>SUM(C131:U131)</f>
        <v>768000</v>
      </c>
      <c r="W131" s="16" t="s">
        <v>55</v>
      </c>
      <c r="X131" s="9"/>
      <c r="Y131" s="44"/>
      <c r="AF131" s="46"/>
    </row>
    <row r="132" spans="1:32" s="49" customFormat="1" x14ac:dyDescent="0.2">
      <c r="A132" s="2"/>
      <c r="B132" s="14" t="s">
        <v>216</v>
      </c>
      <c r="C132" s="50"/>
      <c r="D132" s="46"/>
      <c r="E132" s="46"/>
      <c r="F132" s="46"/>
      <c r="G132" s="46"/>
      <c r="H132" s="46"/>
      <c r="I132" s="46"/>
      <c r="J132" s="46"/>
      <c r="K132" s="46"/>
      <c r="L132" s="47"/>
      <c r="M132" s="47"/>
      <c r="N132" s="47"/>
      <c r="O132" s="46"/>
      <c r="P132" s="64"/>
      <c r="Q132" s="64"/>
      <c r="R132" s="64"/>
      <c r="S132" s="65"/>
      <c r="T132" s="65"/>
      <c r="U132" s="23">
        <v>350000</v>
      </c>
      <c r="V132" s="6">
        <f>SUM(C132:U132)</f>
        <v>350000</v>
      </c>
      <c r="W132" s="16" t="s">
        <v>55</v>
      </c>
      <c r="X132" s="15"/>
      <c r="Y132" s="44"/>
      <c r="AF132" s="46"/>
    </row>
    <row r="133" spans="1:32" s="49" customFormat="1" ht="13.5" thickBot="1" x14ac:dyDescent="0.25">
      <c r="A133" s="2"/>
      <c r="B133" s="14"/>
      <c r="C133" s="50"/>
      <c r="D133" s="46"/>
      <c r="E133" s="46"/>
      <c r="F133" s="46"/>
      <c r="G133" s="46"/>
      <c r="H133" s="46"/>
      <c r="I133" s="46"/>
      <c r="J133" s="46"/>
      <c r="K133" s="46"/>
      <c r="L133" s="47"/>
      <c r="M133" s="47"/>
      <c r="N133" s="47"/>
      <c r="O133" s="46"/>
      <c r="P133" s="47"/>
      <c r="Q133" s="47"/>
      <c r="R133" s="47"/>
      <c r="S133" s="48"/>
      <c r="T133" s="48"/>
      <c r="U133" s="48"/>
      <c r="V133" s="47"/>
      <c r="W133" s="57"/>
      <c r="X133" s="10"/>
      <c r="AF133" s="46"/>
    </row>
    <row r="134" spans="1:32" s="49" customFormat="1" ht="13.5" thickBot="1" x14ac:dyDescent="0.25">
      <c r="A134" s="2"/>
      <c r="B134" s="4" t="s">
        <v>34</v>
      </c>
      <c r="C134" s="50"/>
      <c r="D134" s="46"/>
      <c r="E134" s="46"/>
      <c r="F134" s="46"/>
      <c r="G134" s="46"/>
      <c r="H134" s="46"/>
      <c r="I134" s="46"/>
      <c r="J134" s="46"/>
      <c r="K134" s="46"/>
      <c r="L134" s="47"/>
      <c r="M134" s="47"/>
      <c r="N134" s="47"/>
      <c r="O134" s="46"/>
      <c r="P134" s="47"/>
      <c r="Q134" s="47"/>
      <c r="R134" s="47"/>
      <c r="S134" s="48"/>
      <c r="T134" s="48"/>
      <c r="U134" s="48"/>
      <c r="V134" s="6"/>
      <c r="W134" s="35">
        <f>SUM(V135:V143)</f>
        <v>683811.77159999998</v>
      </c>
      <c r="X134" s="10"/>
      <c r="AF134" s="46"/>
    </row>
    <row r="135" spans="1:32" s="49" customFormat="1" x14ac:dyDescent="0.2">
      <c r="A135" s="2"/>
      <c r="B135" s="14" t="s">
        <v>9</v>
      </c>
      <c r="C135" s="50"/>
      <c r="D135" s="46"/>
      <c r="E135" s="15">
        <v>5115.6499999999996</v>
      </c>
      <c r="F135" s="46">
        <f>E113*0.08</f>
        <v>120.1216</v>
      </c>
      <c r="G135" s="46"/>
      <c r="H135" s="46"/>
      <c r="I135" s="46"/>
      <c r="J135" s="46"/>
      <c r="K135" s="46"/>
      <c r="L135" s="47"/>
      <c r="M135" s="47"/>
      <c r="N135" s="47"/>
      <c r="O135" s="46"/>
      <c r="P135" s="47"/>
      <c r="Q135" s="47"/>
      <c r="R135" s="47"/>
      <c r="S135" s="48"/>
      <c r="T135" s="48"/>
      <c r="U135" s="48"/>
      <c r="V135" s="6">
        <f t="shared" ref="V135:V143" si="2">SUM(C135:U135)</f>
        <v>5235.7716</v>
      </c>
      <c r="W135" s="16" t="s">
        <v>50</v>
      </c>
      <c r="X135" s="10"/>
      <c r="AF135" s="46"/>
    </row>
    <row r="136" spans="1:32" s="49" customFormat="1" x14ac:dyDescent="0.2">
      <c r="A136" s="2"/>
      <c r="B136" s="14" t="s">
        <v>59</v>
      </c>
      <c r="C136" s="46"/>
      <c r="D136" s="46"/>
      <c r="E136" s="46"/>
      <c r="F136" s="46"/>
      <c r="G136" s="15">
        <f>16389+3933</f>
        <v>20322</v>
      </c>
      <c r="H136" s="46"/>
      <c r="I136" s="46"/>
      <c r="J136" s="46"/>
      <c r="K136" s="46"/>
      <c r="L136" s="47"/>
      <c r="M136" s="47"/>
      <c r="N136" s="47"/>
      <c r="O136" s="46"/>
      <c r="P136" s="47"/>
      <c r="Q136" s="47"/>
      <c r="R136" s="47"/>
      <c r="S136" s="48"/>
      <c r="T136" s="48"/>
      <c r="U136" s="48"/>
      <c r="V136" s="6">
        <f t="shared" si="2"/>
        <v>20322</v>
      </c>
      <c r="W136" s="16" t="s">
        <v>50</v>
      </c>
      <c r="X136" s="10"/>
      <c r="AF136" s="46"/>
    </row>
    <row r="137" spans="1:32" s="49" customFormat="1" x14ac:dyDescent="0.2">
      <c r="A137" s="2"/>
      <c r="B137" s="14" t="s">
        <v>84</v>
      </c>
      <c r="C137" s="46"/>
      <c r="D137" s="46"/>
      <c r="E137" s="46"/>
      <c r="F137" s="46"/>
      <c r="G137" s="15">
        <f>17000+4080</f>
        <v>21080</v>
      </c>
      <c r="H137" s="46"/>
      <c r="I137" s="46"/>
      <c r="J137" s="46"/>
      <c r="K137" s="46"/>
      <c r="L137" s="47"/>
      <c r="M137" s="47"/>
      <c r="N137" s="47"/>
      <c r="O137" s="46"/>
      <c r="P137" s="47"/>
      <c r="Q137" s="47"/>
      <c r="R137" s="47"/>
      <c r="S137" s="48"/>
      <c r="T137" s="48"/>
      <c r="U137" s="48"/>
      <c r="V137" s="6">
        <f t="shared" si="2"/>
        <v>21080</v>
      </c>
      <c r="W137" s="16" t="s">
        <v>50</v>
      </c>
      <c r="X137" s="10"/>
      <c r="AF137" s="46"/>
    </row>
    <row r="138" spans="1:32" s="49" customFormat="1" x14ac:dyDescent="0.2">
      <c r="A138" s="2"/>
      <c r="B138" s="14" t="s">
        <v>85</v>
      </c>
      <c r="C138" s="46"/>
      <c r="D138" s="46"/>
      <c r="E138" s="46"/>
      <c r="F138" s="46"/>
      <c r="G138" s="15">
        <f>50000+12000</f>
        <v>62000</v>
      </c>
      <c r="H138" s="46"/>
      <c r="I138" s="46"/>
      <c r="J138" s="46"/>
      <c r="K138" s="46"/>
      <c r="L138" s="47"/>
      <c r="M138" s="47"/>
      <c r="N138" s="47"/>
      <c r="O138" s="46"/>
      <c r="P138" s="47"/>
      <c r="Q138" s="47"/>
      <c r="R138" s="47"/>
      <c r="S138" s="48"/>
      <c r="T138" s="48"/>
      <c r="U138" s="48"/>
      <c r="V138" s="6">
        <f t="shared" si="2"/>
        <v>62000</v>
      </c>
      <c r="W138" s="16" t="s">
        <v>50</v>
      </c>
      <c r="X138" s="10"/>
      <c r="AF138" s="46"/>
    </row>
    <row r="139" spans="1:32" s="49" customFormat="1" x14ac:dyDescent="0.2">
      <c r="A139" s="2"/>
      <c r="B139" s="14" t="s">
        <v>56</v>
      </c>
      <c r="C139" s="46"/>
      <c r="D139" s="46"/>
      <c r="E139" s="46"/>
      <c r="F139" s="46"/>
      <c r="G139" s="46"/>
      <c r="H139" s="46"/>
      <c r="I139" s="15">
        <v>13233</v>
      </c>
      <c r="J139" s="15">
        <v>98145</v>
      </c>
      <c r="K139" s="46"/>
      <c r="L139" s="47"/>
      <c r="M139" s="47"/>
      <c r="N139" s="47"/>
      <c r="O139" s="46"/>
      <c r="P139" s="47"/>
      <c r="Q139" s="47"/>
      <c r="R139" s="47"/>
      <c r="S139" s="48"/>
      <c r="T139" s="48"/>
      <c r="U139" s="48"/>
      <c r="V139" s="6">
        <f t="shared" si="2"/>
        <v>111378</v>
      </c>
      <c r="W139" s="16" t="s">
        <v>50</v>
      </c>
      <c r="X139" s="10"/>
      <c r="AF139" s="46"/>
    </row>
    <row r="140" spans="1:32" s="49" customFormat="1" x14ac:dyDescent="0.2">
      <c r="A140" s="2"/>
      <c r="B140" s="10" t="s">
        <v>78</v>
      </c>
      <c r="C140" s="50"/>
      <c r="D140" s="46"/>
      <c r="E140" s="46"/>
      <c r="F140" s="46"/>
      <c r="G140" s="46"/>
      <c r="H140" s="46"/>
      <c r="I140" s="15">
        <v>66243</v>
      </c>
      <c r="J140" s="15">
        <v>99485</v>
      </c>
      <c r="K140" s="46"/>
      <c r="L140" s="47"/>
      <c r="M140" s="47"/>
      <c r="N140" s="47"/>
      <c r="O140" s="46"/>
      <c r="P140" s="47"/>
      <c r="Q140" s="47"/>
      <c r="R140" s="47"/>
      <c r="S140" s="48"/>
      <c r="T140" s="48"/>
      <c r="U140" s="48"/>
      <c r="V140" s="6">
        <f t="shared" si="2"/>
        <v>165728</v>
      </c>
      <c r="W140" s="16" t="s">
        <v>50</v>
      </c>
      <c r="X140" s="10"/>
      <c r="AF140" s="46"/>
    </row>
    <row r="141" spans="1:32" s="49" customFormat="1" x14ac:dyDescent="0.2">
      <c r="A141" s="2"/>
      <c r="B141" s="13" t="s">
        <v>112</v>
      </c>
      <c r="C141" s="50"/>
      <c r="D141" s="46"/>
      <c r="E141" s="46"/>
      <c r="F141" s="46"/>
      <c r="G141" s="46"/>
      <c r="H141" s="46"/>
      <c r="I141" s="46"/>
      <c r="J141" s="46"/>
      <c r="K141" s="80">
        <v>217255</v>
      </c>
      <c r="L141" s="47"/>
      <c r="M141" s="47"/>
      <c r="N141" s="47"/>
      <c r="O141" s="46"/>
      <c r="P141" s="47"/>
      <c r="Q141" s="47"/>
      <c r="R141" s="47"/>
      <c r="S141" s="48"/>
      <c r="T141" s="48"/>
      <c r="U141" s="48"/>
      <c r="V141" s="6">
        <f t="shared" si="2"/>
        <v>217255</v>
      </c>
      <c r="W141" s="16" t="s">
        <v>50</v>
      </c>
      <c r="X141" s="10"/>
      <c r="AF141" s="46"/>
    </row>
    <row r="142" spans="1:32" s="49" customFormat="1" x14ac:dyDescent="0.2">
      <c r="A142" s="2"/>
      <c r="B142" s="10" t="s">
        <v>164</v>
      </c>
      <c r="C142" s="50"/>
      <c r="D142" s="46"/>
      <c r="E142" s="46"/>
      <c r="F142" s="46"/>
      <c r="G142" s="46"/>
      <c r="H142" s="46"/>
      <c r="I142" s="46"/>
      <c r="J142" s="46"/>
      <c r="K142" s="60"/>
      <c r="L142" s="47"/>
      <c r="M142" s="47"/>
      <c r="N142" s="47"/>
      <c r="O142" s="46"/>
      <c r="P142" s="15">
        <v>39513</v>
      </c>
      <c r="Q142" s="47"/>
      <c r="R142" s="47"/>
      <c r="S142" s="48"/>
      <c r="T142" s="48"/>
      <c r="U142" s="48"/>
      <c r="V142" s="6">
        <f t="shared" si="2"/>
        <v>39513</v>
      </c>
      <c r="W142" s="16" t="s">
        <v>50</v>
      </c>
      <c r="X142" s="10"/>
      <c r="AF142" s="46"/>
    </row>
    <row r="143" spans="1:32" s="49" customFormat="1" x14ac:dyDescent="0.2">
      <c r="A143" s="2"/>
      <c r="B143" s="13" t="s">
        <v>159</v>
      </c>
      <c r="C143" s="50"/>
      <c r="D143" s="46"/>
      <c r="E143" s="46"/>
      <c r="F143" s="46"/>
      <c r="G143" s="46"/>
      <c r="H143" s="46"/>
      <c r="I143" s="46"/>
      <c r="J143" s="46"/>
      <c r="K143" s="46"/>
      <c r="L143" s="47"/>
      <c r="M143" s="47"/>
      <c r="N143" s="47"/>
      <c r="O143" s="46"/>
      <c r="P143" s="47"/>
      <c r="Q143" s="47"/>
      <c r="R143" s="15">
        <v>41300</v>
      </c>
      <c r="S143" s="48"/>
      <c r="T143" s="48"/>
      <c r="U143" s="48"/>
      <c r="V143" s="6">
        <f t="shared" si="2"/>
        <v>41300</v>
      </c>
      <c r="W143" s="16" t="s">
        <v>50</v>
      </c>
      <c r="X143" s="10"/>
      <c r="Y143" s="46"/>
      <c r="AF143" s="46"/>
    </row>
    <row r="144" spans="1:32" s="49" customFormat="1" x14ac:dyDescent="0.2">
      <c r="A144" s="2"/>
      <c r="B144" s="10"/>
      <c r="C144" s="50"/>
      <c r="D144" s="46"/>
      <c r="E144" s="46"/>
      <c r="F144" s="46"/>
      <c r="G144" s="46"/>
      <c r="H144" s="46"/>
      <c r="I144" s="46"/>
      <c r="J144" s="46"/>
      <c r="K144" s="60"/>
      <c r="L144" s="47"/>
      <c r="M144" s="47"/>
      <c r="N144" s="47"/>
      <c r="O144" s="46"/>
      <c r="P144" s="46"/>
      <c r="Q144" s="47"/>
      <c r="R144" s="47"/>
      <c r="S144" s="48"/>
      <c r="T144" s="48"/>
      <c r="U144" s="48"/>
      <c r="V144" s="47"/>
      <c r="W144" s="57"/>
      <c r="X144" s="10"/>
      <c r="AF144" s="46"/>
    </row>
    <row r="145" spans="1:32" s="49" customFormat="1" ht="13.5" thickBot="1" x14ac:dyDescent="0.25">
      <c r="A145" s="2"/>
      <c r="B145" s="10"/>
      <c r="C145" s="50"/>
      <c r="D145" s="46"/>
      <c r="E145" s="46"/>
      <c r="F145" s="46"/>
      <c r="G145" s="46"/>
      <c r="H145" s="46"/>
      <c r="I145" s="46"/>
      <c r="J145" s="46"/>
      <c r="K145" s="46"/>
      <c r="L145" s="47"/>
      <c r="M145" s="47"/>
      <c r="N145" s="47"/>
      <c r="O145" s="46"/>
      <c r="P145" s="47"/>
      <c r="Q145" s="47"/>
      <c r="R145" s="47"/>
      <c r="S145" s="48"/>
      <c r="T145" s="48"/>
      <c r="U145" s="48"/>
      <c r="V145" s="47"/>
      <c r="W145" s="46"/>
      <c r="X145" s="10"/>
      <c r="AF145" s="46"/>
    </row>
    <row r="146" spans="1:32" s="49" customFormat="1" ht="13.5" thickBot="1" x14ac:dyDescent="0.25">
      <c r="A146" s="2"/>
      <c r="B146" s="4" t="s">
        <v>38</v>
      </c>
      <c r="C146" s="50"/>
      <c r="D146" s="46"/>
      <c r="E146" s="46"/>
      <c r="F146" s="46"/>
      <c r="G146" s="46"/>
      <c r="H146" s="46"/>
      <c r="I146" s="46"/>
      <c r="J146" s="46"/>
      <c r="K146" s="46"/>
      <c r="L146" s="47"/>
      <c r="M146" s="47"/>
      <c r="N146" s="47"/>
      <c r="O146" s="46"/>
      <c r="P146" s="47"/>
      <c r="Q146" s="47"/>
      <c r="R146" s="47"/>
      <c r="S146" s="48"/>
      <c r="T146" s="48"/>
      <c r="U146" s="48"/>
      <c r="V146" s="6"/>
      <c r="W146" s="35">
        <f>SUM(V147:V148)</f>
        <v>0</v>
      </c>
      <c r="X146" s="10"/>
      <c r="AF146" s="46"/>
    </row>
    <row r="147" spans="1:32" s="49" customFormat="1" x14ac:dyDescent="0.2">
      <c r="A147" s="2"/>
      <c r="B147" s="32" t="s">
        <v>185</v>
      </c>
      <c r="C147" s="50"/>
      <c r="D147" s="46"/>
      <c r="E147" s="46"/>
      <c r="F147" s="46"/>
      <c r="G147" s="46"/>
      <c r="H147" s="46"/>
      <c r="I147" s="46"/>
      <c r="J147" s="46"/>
      <c r="K147" s="46"/>
      <c r="L147" s="47"/>
      <c r="M147" s="47"/>
      <c r="N147" s="47"/>
      <c r="O147" s="46"/>
      <c r="P147" s="47"/>
      <c r="Q147" s="47"/>
      <c r="R147" s="47"/>
      <c r="S147" s="48"/>
      <c r="T147" s="48"/>
      <c r="U147" s="48"/>
      <c r="V147" s="33">
        <f>SUM(C147:U147)</f>
        <v>0</v>
      </c>
      <c r="W147" s="16" t="s">
        <v>49</v>
      </c>
      <c r="X147" s="10"/>
      <c r="AF147" s="46"/>
    </row>
    <row r="148" spans="1:32" s="49" customFormat="1" x14ac:dyDescent="0.2">
      <c r="A148" s="2"/>
      <c r="B148" s="10"/>
      <c r="C148" s="50"/>
      <c r="D148" s="46"/>
      <c r="E148" s="46"/>
      <c r="F148" s="46"/>
      <c r="G148" s="46"/>
      <c r="H148" s="46"/>
      <c r="I148" s="46"/>
      <c r="J148" s="46"/>
      <c r="K148" s="46"/>
      <c r="L148" s="47"/>
      <c r="M148" s="47"/>
      <c r="N148" s="47"/>
      <c r="O148" s="46"/>
      <c r="P148" s="47"/>
      <c r="Q148" s="47"/>
      <c r="R148" s="47"/>
      <c r="S148" s="48"/>
      <c r="T148" s="48"/>
      <c r="U148" s="48"/>
      <c r="V148" s="47"/>
      <c r="W148" s="57"/>
      <c r="X148" s="10"/>
      <c r="AF148" s="46"/>
    </row>
    <row r="149" spans="1:32" s="49" customFormat="1" ht="13.5" thickBot="1" x14ac:dyDescent="0.25">
      <c r="A149" s="2"/>
      <c r="B149" s="14"/>
      <c r="C149" s="50"/>
      <c r="D149" s="46"/>
      <c r="E149" s="46"/>
      <c r="F149" s="46"/>
      <c r="G149" s="46"/>
      <c r="H149" s="46"/>
      <c r="I149" s="46"/>
      <c r="J149" s="46"/>
      <c r="K149" s="46"/>
      <c r="L149" s="47"/>
      <c r="M149" s="47"/>
      <c r="N149" s="47"/>
      <c r="O149" s="46"/>
      <c r="P149" s="47"/>
      <c r="Q149" s="47"/>
      <c r="R149" s="47"/>
      <c r="S149" s="48"/>
      <c r="T149" s="48"/>
      <c r="U149" s="48"/>
      <c r="V149" s="47"/>
      <c r="W149" s="57"/>
      <c r="X149" s="10"/>
      <c r="AF149" s="46"/>
    </row>
    <row r="150" spans="1:32" s="49" customFormat="1" x14ac:dyDescent="0.2">
      <c r="A150" s="2"/>
      <c r="B150" s="3" t="s">
        <v>130</v>
      </c>
      <c r="C150" s="46"/>
      <c r="D150" s="50"/>
      <c r="E150" s="46"/>
      <c r="F150" s="46"/>
      <c r="G150" s="46"/>
      <c r="H150" s="46"/>
      <c r="I150" s="46"/>
      <c r="J150" s="46"/>
      <c r="K150" s="46"/>
      <c r="L150" s="47"/>
      <c r="M150" s="47"/>
      <c r="N150" s="47"/>
      <c r="O150" s="46"/>
      <c r="P150" s="47"/>
      <c r="Q150" s="47"/>
      <c r="R150" s="47"/>
      <c r="S150" s="48"/>
      <c r="T150" s="48"/>
      <c r="U150" s="48"/>
      <c r="V150" s="6"/>
      <c r="W150" s="85">
        <f>SUM(V152:V207)</f>
        <v>20251133.780000001</v>
      </c>
      <c r="X150" s="10"/>
      <c r="Y150" s="66"/>
      <c r="AF150" s="46"/>
    </row>
    <row r="151" spans="1:32" s="49" customFormat="1" x14ac:dyDescent="0.2">
      <c r="A151" s="2"/>
      <c r="B151" s="75" t="s">
        <v>96</v>
      </c>
      <c r="C151" s="46"/>
      <c r="D151" s="50"/>
      <c r="E151" s="46"/>
      <c r="F151" s="46"/>
      <c r="G151" s="46"/>
      <c r="H151" s="46"/>
      <c r="I151" s="46"/>
      <c r="J151" s="46"/>
      <c r="K151" s="46"/>
      <c r="L151" s="47"/>
      <c r="M151" s="47"/>
      <c r="N151" s="47"/>
      <c r="O151" s="46"/>
      <c r="P151" s="47"/>
      <c r="Q151" s="47"/>
      <c r="R151" s="47"/>
      <c r="S151" s="48"/>
      <c r="T151" s="48"/>
      <c r="U151" s="48"/>
      <c r="V151" s="6"/>
      <c r="W151" s="82">
        <f>SUM(V152:V187)</f>
        <v>11932243.780000001</v>
      </c>
      <c r="X151" s="5"/>
      <c r="Y151" s="67"/>
      <c r="AF151" s="46"/>
    </row>
    <row r="152" spans="1:32" s="49" customFormat="1" x14ac:dyDescent="0.2">
      <c r="A152" s="2"/>
      <c r="B152" s="26" t="s">
        <v>183</v>
      </c>
      <c r="C152" s="46"/>
      <c r="D152" s="50"/>
      <c r="E152" s="46"/>
      <c r="F152" s="46"/>
      <c r="G152" s="46"/>
      <c r="H152" s="46"/>
      <c r="I152" s="46"/>
      <c r="J152" s="46"/>
      <c r="K152" s="46"/>
      <c r="L152" s="47"/>
      <c r="M152" s="47"/>
      <c r="N152" s="47"/>
      <c r="O152" s="46"/>
      <c r="P152" s="47"/>
      <c r="Q152" s="47"/>
      <c r="R152" s="47"/>
      <c r="S152" s="48"/>
      <c r="T152" s="48"/>
      <c r="U152" s="48"/>
      <c r="V152" s="6"/>
      <c r="W152" s="16" t="s">
        <v>52</v>
      </c>
      <c r="X152" s="5"/>
      <c r="Y152" s="67"/>
      <c r="AF152" s="46"/>
    </row>
    <row r="153" spans="1:32" s="49" customFormat="1" x14ac:dyDescent="0.2">
      <c r="A153" s="2"/>
      <c r="B153" s="32" t="s">
        <v>47</v>
      </c>
      <c r="C153" s="46"/>
      <c r="D153" s="50"/>
      <c r="E153" s="46"/>
      <c r="F153" s="46"/>
      <c r="G153" s="46"/>
      <c r="H153" s="46"/>
      <c r="I153" s="15">
        <v>81623</v>
      </c>
      <c r="J153" s="46"/>
      <c r="K153" s="46"/>
      <c r="L153" s="47"/>
      <c r="M153" s="47"/>
      <c r="N153" s="47"/>
      <c r="O153" s="46"/>
      <c r="P153" s="47"/>
      <c r="Q153" s="47"/>
      <c r="R153" s="47"/>
      <c r="S153" s="48"/>
      <c r="T153" s="48"/>
      <c r="U153" s="48"/>
      <c r="V153" s="33">
        <f>SUM(C153:U153)</f>
        <v>81623</v>
      </c>
      <c r="W153" s="16" t="s">
        <v>52</v>
      </c>
      <c r="X153" s="5"/>
      <c r="Y153" s="67"/>
      <c r="AF153" s="46"/>
    </row>
    <row r="154" spans="1:32" s="49" customFormat="1" x14ac:dyDescent="0.2">
      <c r="A154" s="2"/>
      <c r="B154" s="32" t="s">
        <v>90</v>
      </c>
      <c r="C154" s="46"/>
      <c r="D154" s="50"/>
      <c r="E154" s="46"/>
      <c r="F154" s="46"/>
      <c r="G154" s="46"/>
      <c r="H154" s="46"/>
      <c r="I154" s="15">
        <v>100465</v>
      </c>
      <c r="J154" s="46"/>
      <c r="K154" s="46"/>
      <c r="L154" s="47"/>
      <c r="M154" s="47"/>
      <c r="N154" s="47"/>
      <c r="O154" s="46"/>
      <c r="P154" s="47"/>
      <c r="Q154" s="47"/>
      <c r="R154" s="47"/>
      <c r="S154" s="48"/>
      <c r="T154" s="48"/>
      <c r="U154" s="48"/>
      <c r="V154" s="33">
        <f>SUM(C154:U154)</f>
        <v>100465</v>
      </c>
      <c r="W154" s="16" t="s">
        <v>52</v>
      </c>
      <c r="X154" s="5"/>
      <c r="Y154" s="67"/>
      <c r="AF154" s="46"/>
    </row>
    <row r="155" spans="1:32" s="49" customFormat="1" x14ac:dyDescent="0.2">
      <c r="A155" s="2"/>
      <c r="B155" s="32" t="s">
        <v>93</v>
      </c>
      <c r="C155" s="46"/>
      <c r="D155" s="50"/>
      <c r="E155" s="46"/>
      <c r="F155" s="46"/>
      <c r="G155" s="46"/>
      <c r="H155" s="46"/>
      <c r="I155" s="46"/>
      <c r="J155" s="46"/>
      <c r="K155" s="80">
        <v>42570</v>
      </c>
      <c r="L155" s="47"/>
      <c r="M155" s="47"/>
      <c r="N155" s="47"/>
      <c r="O155" s="46"/>
      <c r="P155" s="47"/>
      <c r="Q155" s="47"/>
      <c r="R155" s="47"/>
      <c r="S155" s="48"/>
      <c r="T155" s="48"/>
      <c r="U155" s="48"/>
      <c r="V155" s="33">
        <f>SUM(C155:U155)</f>
        <v>42570</v>
      </c>
      <c r="W155" s="16" t="s">
        <v>52</v>
      </c>
      <c r="X155" s="5"/>
      <c r="Y155" s="67"/>
      <c r="AF155" s="46"/>
    </row>
    <row r="156" spans="1:32" s="49" customFormat="1" x14ac:dyDescent="0.2">
      <c r="A156" s="2"/>
      <c r="B156" s="32" t="s">
        <v>101</v>
      </c>
      <c r="C156" s="46"/>
      <c r="D156" s="50"/>
      <c r="E156" s="46"/>
      <c r="F156" s="46"/>
      <c r="G156" s="46"/>
      <c r="H156" s="46"/>
      <c r="I156" s="46"/>
      <c r="J156" s="46"/>
      <c r="K156" s="60"/>
      <c r="L156" s="47"/>
      <c r="M156" s="15">
        <v>6055</v>
      </c>
      <c r="N156" s="47"/>
      <c r="O156" s="46"/>
      <c r="P156" s="47"/>
      <c r="Q156" s="47"/>
      <c r="R156" s="47"/>
      <c r="S156" s="48"/>
      <c r="T156" s="48"/>
      <c r="U156" s="48"/>
      <c r="V156" s="33">
        <f>SUM(C156:U156)</f>
        <v>6055</v>
      </c>
      <c r="W156" s="16" t="s">
        <v>52</v>
      </c>
      <c r="X156" s="5"/>
      <c r="Y156" s="67"/>
      <c r="AF156" s="46"/>
    </row>
    <row r="157" spans="1:32" s="49" customFormat="1" x14ac:dyDescent="0.2">
      <c r="A157" s="2"/>
      <c r="B157" s="27" t="s">
        <v>184</v>
      </c>
      <c r="C157" s="46"/>
      <c r="D157" s="50"/>
      <c r="E157" s="46"/>
      <c r="F157" s="46"/>
      <c r="G157" s="46"/>
      <c r="H157" s="46"/>
      <c r="I157" s="46"/>
      <c r="J157" s="46"/>
      <c r="K157" s="60"/>
      <c r="L157" s="47"/>
      <c r="M157" s="47"/>
      <c r="N157" s="47"/>
      <c r="O157" s="46"/>
      <c r="P157" s="47"/>
      <c r="Q157" s="47"/>
      <c r="R157" s="47"/>
      <c r="S157" s="48"/>
      <c r="T157" s="48"/>
      <c r="U157" s="48"/>
      <c r="V157" s="6"/>
      <c r="W157" s="16"/>
      <c r="X157" s="5"/>
      <c r="Y157" s="67"/>
      <c r="AF157" s="46"/>
    </row>
    <row r="158" spans="1:32" s="49" customFormat="1" x14ac:dyDescent="0.2">
      <c r="A158" s="2"/>
      <c r="B158" s="14" t="s">
        <v>60</v>
      </c>
      <c r="C158" s="46"/>
      <c r="D158" s="50"/>
      <c r="E158" s="46"/>
      <c r="F158" s="46"/>
      <c r="G158" s="15">
        <f>80000+19200</f>
        <v>99200</v>
      </c>
      <c r="H158" s="46"/>
      <c r="I158" s="46"/>
      <c r="J158" s="46"/>
      <c r="K158" s="46"/>
      <c r="L158" s="47"/>
      <c r="M158" s="47"/>
      <c r="N158" s="47"/>
      <c r="O158" s="46"/>
      <c r="P158" s="47"/>
      <c r="Q158" s="47"/>
      <c r="R158" s="47"/>
      <c r="S158" s="48"/>
      <c r="T158" s="48"/>
      <c r="U158" s="48"/>
      <c r="V158" s="6">
        <f t="shared" ref="V158:V186" si="3">SUM(C158:U158)</f>
        <v>99200</v>
      </c>
      <c r="W158" s="16" t="s">
        <v>52</v>
      </c>
      <c r="X158" s="10"/>
      <c r="AF158" s="46"/>
    </row>
    <row r="159" spans="1:32" s="49" customFormat="1" x14ac:dyDescent="0.2">
      <c r="A159" s="2"/>
      <c r="B159" s="14" t="s">
        <v>61</v>
      </c>
      <c r="C159" s="46"/>
      <c r="D159" s="50"/>
      <c r="E159" s="46"/>
      <c r="F159" s="46"/>
      <c r="G159" s="15">
        <f>36300+8712</f>
        <v>45012</v>
      </c>
      <c r="H159" s="46"/>
      <c r="I159" s="46"/>
      <c r="J159" s="46"/>
      <c r="K159" s="46"/>
      <c r="L159" s="47"/>
      <c r="M159" s="47"/>
      <c r="N159" s="47"/>
      <c r="O159" s="46"/>
      <c r="P159" s="47"/>
      <c r="Q159" s="47"/>
      <c r="R159" s="47"/>
      <c r="S159" s="48"/>
      <c r="T159" s="48"/>
      <c r="U159" s="48"/>
      <c r="V159" s="6">
        <f t="shared" si="3"/>
        <v>45012</v>
      </c>
      <c r="W159" s="16" t="s">
        <v>52</v>
      </c>
      <c r="X159" s="10"/>
      <c r="AF159" s="46"/>
    </row>
    <row r="160" spans="1:32" s="49" customFormat="1" x14ac:dyDescent="0.2">
      <c r="A160" s="2"/>
      <c r="B160" s="14" t="s">
        <v>62</v>
      </c>
      <c r="C160" s="46"/>
      <c r="D160" s="50"/>
      <c r="E160" s="46"/>
      <c r="F160" s="46"/>
      <c r="G160" s="15">
        <f>355000+85200</f>
        <v>440200</v>
      </c>
      <c r="H160" s="46"/>
      <c r="I160" s="46"/>
      <c r="J160" s="46"/>
      <c r="K160" s="46"/>
      <c r="L160" s="47"/>
      <c r="M160" s="47"/>
      <c r="N160" s="47"/>
      <c r="O160" s="46"/>
      <c r="P160" s="47"/>
      <c r="Q160" s="47"/>
      <c r="R160" s="47"/>
      <c r="S160" s="48"/>
      <c r="T160" s="48"/>
      <c r="U160" s="48"/>
      <c r="V160" s="6">
        <f t="shared" si="3"/>
        <v>440200</v>
      </c>
      <c r="W160" s="16" t="s">
        <v>52</v>
      </c>
      <c r="X160" s="10"/>
      <c r="Y160" s="46"/>
      <c r="AF160" s="46"/>
    </row>
    <row r="161" spans="1:32" s="49" customFormat="1" x14ac:dyDescent="0.2">
      <c r="A161" s="2"/>
      <c r="B161" s="14" t="s">
        <v>63</v>
      </c>
      <c r="C161" s="46"/>
      <c r="D161" s="50"/>
      <c r="E161" s="46"/>
      <c r="F161" s="46"/>
      <c r="G161" s="15">
        <f>73740+17698</f>
        <v>91438</v>
      </c>
      <c r="H161" s="46"/>
      <c r="I161" s="46"/>
      <c r="J161" s="46"/>
      <c r="K161" s="46"/>
      <c r="L161" s="47"/>
      <c r="M161" s="47"/>
      <c r="N161" s="47"/>
      <c r="O161" s="46"/>
      <c r="P161" s="47"/>
      <c r="Q161" s="47"/>
      <c r="R161" s="47"/>
      <c r="S161" s="48"/>
      <c r="T161" s="48"/>
      <c r="U161" s="48"/>
      <c r="V161" s="6">
        <f t="shared" si="3"/>
        <v>91438</v>
      </c>
      <c r="W161" s="16" t="s">
        <v>52</v>
      </c>
      <c r="X161" s="10"/>
      <c r="AF161" s="46"/>
    </row>
    <row r="162" spans="1:32" s="49" customFormat="1" x14ac:dyDescent="0.2">
      <c r="A162" s="2"/>
      <c r="B162" s="14" t="s">
        <v>64</v>
      </c>
      <c r="C162" s="46"/>
      <c r="D162" s="50"/>
      <c r="E162" s="46"/>
      <c r="F162" s="46"/>
      <c r="G162" s="15">
        <f>67325+16158</f>
        <v>83483</v>
      </c>
      <c r="H162" s="46"/>
      <c r="I162" s="46"/>
      <c r="J162" s="46"/>
      <c r="K162" s="46"/>
      <c r="L162" s="47"/>
      <c r="M162" s="47"/>
      <c r="N162" s="47"/>
      <c r="O162" s="46"/>
      <c r="P162" s="47"/>
      <c r="Q162" s="47"/>
      <c r="R162" s="47"/>
      <c r="S162" s="48"/>
      <c r="T162" s="48"/>
      <c r="U162" s="48"/>
      <c r="V162" s="6">
        <f t="shared" si="3"/>
        <v>83483</v>
      </c>
      <c r="W162" s="16" t="s">
        <v>52</v>
      </c>
      <c r="X162" s="10"/>
      <c r="AF162" s="46"/>
    </row>
    <row r="163" spans="1:32" s="49" customFormat="1" ht="15" customHeight="1" x14ac:dyDescent="0.2">
      <c r="A163" s="2"/>
      <c r="B163" s="14" t="s">
        <v>65</v>
      </c>
      <c r="C163" s="46"/>
      <c r="D163" s="50"/>
      <c r="E163" s="46"/>
      <c r="F163" s="46"/>
      <c r="G163" s="15">
        <f>210000+50400</f>
        <v>260400</v>
      </c>
      <c r="H163" s="46"/>
      <c r="I163" s="46"/>
      <c r="J163" s="46"/>
      <c r="K163" s="46"/>
      <c r="L163" s="47"/>
      <c r="M163" s="47"/>
      <c r="N163" s="47"/>
      <c r="O163" s="46"/>
      <c r="P163" s="47"/>
      <c r="Q163" s="47"/>
      <c r="R163" s="47"/>
      <c r="S163" s="48"/>
      <c r="T163" s="48"/>
      <c r="U163" s="48"/>
      <c r="V163" s="6">
        <f t="shared" si="3"/>
        <v>260400</v>
      </c>
      <c r="W163" s="16" t="s">
        <v>52</v>
      </c>
      <c r="X163" s="10"/>
      <c r="AF163" s="46"/>
    </row>
    <row r="164" spans="1:32" s="49" customFormat="1" x14ac:dyDescent="0.2">
      <c r="A164" s="2"/>
      <c r="B164" s="10" t="s">
        <v>83</v>
      </c>
      <c r="C164" s="50"/>
      <c r="D164" s="50"/>
      <c r="E164" s="46"/>
      <c r="F164" s="46"/>
      <c r="G164" s="46"/>
      <c r="H164" s="15">
        <f>142401+36312</f>
        <v>178713</v>
      </c>
      <c r="I164" s="46"/>
      <c r="J164" s="46"/>
      <c r="K164" s="46"/>
      <c r="L164" s="47"/>
      <c r="M164" s="47"/>
      <c r="N164" s="47"/>
      <c r="O164" s="46"/>
      <c r="P164" s="47"/>
      <c r="Q164" s="47"/>
      <c r="R164" s="47"/>
      <c r="S164" s="48"/>
      <c r="T164" s="48"/>
      <c r="U164" s="48"/>
      <c r="V164" s="6">
        <f t="shared" si="3"/>
        <v>178713</v>
      </c>
      <c r="W164" s="16" t="s">
        <v>52</v>
      </c>
      <c r="X164" s="10"/>
      <c r="AF164" s="46"/>
    </row>
    <row r="165" spans="1:32" s="49" customFormat="1" x14ac:dyDescent="0.2">
      <c r="A165" s="2"/>
      <c r="B165" s="14" t="s">
        <v>8</v>
      </c>
      <c r="C165" s="50"/>
      <c r="D165" s="50"/>
      <c r="E165" s="15">
        <v>252.78</v>
      </c>
      <c r="F165" s="46"/>
      <c r="G165" s="46"/>
      <c r="H165" s="46"/>
      <c r="I165" s="46"/>
      <c r="J165" s="46"/>
      <c r="K165" s="46"/>
      <c r="L165" s="47"/>
      <c r="M165" s="47"/>
      <c r="N165" s="47"/>
      <c r="O165" s="46"/>
      <c r="P165" s="47"/>
      <c r="Q165" s="47"/>
      <c r="R165" s="47"/>
      <c r="S165" s="48"/>
      <c r="T165" s="48"/>
      <c r="U165" s="48"/>
      <c r="V165" s="6">
        <f t="shared" si="3"/>
        <v>252.78</v>
      </c>
      <c r="W165" s="16" t="s">
        <v>52</v>
      </c>
      <c r="X165" s="10"/>
      <c r="AF165" s="46"/>
    </row>
    <row r="166" spans="1:32" s="49" customFormat="1" x14ac:dyDescent="0.2">
      <c r="A166" s="2"/>
      <c r="B166" s="10" t="s">
        <v>66</v>
      </c>
      <c r="C166" s="50"/>
      <c r="D166" s="46"/>
      <c r="E166" s="46"/>
      <c r="F166" s="46"/>
      <c r="G166" s="46"/>
      <c r="H166" s="15">
        <f>82016+22144</f>
        <v>104160</v>
      </c>
      <c r="I166" s="46"/>
      <c r="J166" s="46"/>
      <c r="K166" s="46"/>
      <c r="L166" s="47"/>
      <c r="M166" s="47"/>
      <c r="N166" s="47"/>
      <c r="O166" s="46"/>
      <c r="P166" s="47"/>
      <c r="Q166" s="47"/>
      <c r="R166" s="47"/>
      <c r="S166" s="48"/>
      <c r="T166" s="48"/>
      <c r="U166" s="48"/>
      <c r="V166" s="6">
        <f t="shared" si="3"/>
        <v>104160</v>
      </c>
      <c r="W166" s="16" t="s">
        <v>52</v>
      </c>
      <c r="X166" s="12"/>
      <c r="AF166" s="46"/>
    </row>
    <row r="167" spans="1:32" s="49" customFormat="1" x14ac:dyDescent="0.2">
      <c r="A167" s="2"/>
      <c r="B167" s="10" t="s">
        <v>67</v>
      </c>
      <c r="C167" s="50"/>
      <c r="D167" s="46"/>
      <c r="E167" s="46"/>
      <c r="F167" s="46"/>
      <c r="G167" s="46"/>
      <c r="H167" s="15">
        <f>75000+20250</f>
        <v>95250</v>
      </c>
      <c r="I167" s="46"/>
      <c r="J167" s="46"/>
      <c r="K167" s="46"/>
      <c r="L167" s="47"/>
      <c r="M167" s="47"/>
      <c r="N167" s="47"/>
      <c r="O167" s="46"/>
      <c r="P167" s="47"/>
      <c r="Q167" s="47"/>
      <c r="R167" s="47"/>
      <c r="S167" s="48"/>
      <c r="T167" s="48"/>
      <c r="U167" s="48"/>
      <c r="V167" s="6">
        <f t="shared" si="3"/>
        <v>95250</v>
      </c>
      <c r="W167" s="16" t="s">
        <v>52</v>
      </c>
      <c r="X167" s="12"/>
      <c r="AF167" s="46"/>
    </row>
    <row r="168" spans="1:32" s="49" customFormat="1" x14ac:dyDescent="0.2">
      <c r="A168" s="2"/>
      <c r="B168" s="10" t="s">
        <v>73</v>
      </c>
      <c r="C168" s="50"/>
      <c r="D168" s="46"/>
      <c r="E168" s="46"/>
      <c r="F168" s="46"/>
      <c r="G168" s="15">
        <f>168527+40446</f>
        <v>208973</v>
      </c>
      <c r="H168" s="46"/>
      <c r="I168" s="46"/>
      <c r="J168" s="46"/>
      <c r="K168" s="46"/>
      <c r="L168" s="47"/>
      <c r="M168" s="47"/>
      <c r="N168" s="47"/>
      <c r="O168" s="46"/>
      <c r="P168" s="47"/>
      <c r="Q168" s="47"/>
      <c r="R168" s="47"/>
      <c r="S168" s="48"/>
      <c r="T168" s="48"/>
      <c r="U168" s="48"/>
      <c r="V168" s="6">
        <f t="shared" si="3"/>
        <v>208973</v>
      </c>
      <c r="W168" s="16" t="s">
        <v>52</v>
      </c>
      <c r="X168" s="12"/>
      <c r="AF168" s="46"/>
    </row>
    <row r="169" spans="1:32" s="49" customFormat="1" x14ac:dyDescent="0.2">
      <c r="A169" s="2"/>
      <c r="B169" s="14" t="s">
        <v>68</v>
      </c>
      <c r="C169" s="50"/>
      <c r="D169" s="46"/>
      <c r="E169" s="46"/>
      <c r="F169" s="46"/>
      <c r="G169" s="46"/>
      <c r="H169" s="15">
        <f>350000+94500</f>
        <v>444500</v>
      </c>
      <c r="I169" s="46"/>
      <c r="J169" s="46"/>
      <c r="K169" s="46"/>
      <c r="L169" s="47"/>
      <c r="M169" s="47"/>
      <c r="N169" s="47"/>
      <c r="O169" s="46"/>
      <c r="P169" s="47"/>
      <c r="Q169" s="47"/>
      <c r="R169" s="47"/>
      <c r="S169" s="48"/>
      <c r="T169" s="48"/>
      <c r="U169" s="48"/>
      <c r="V169" s="6">
        <f t="shared" si="3"/>
        <v>444500</v>
      </c>
      <c r="W169" s="16" t="s">
        <v>52</v>
      </c>
      <c r="X169" s="12"/>
      <c r="AF169" s="46"/>
    </row>
    <row r="170" spans="1:32" s="49" customFormat="1" x14ac:dyDescent="0.2">
      <c r="A170" s="2"/>
      <c r="B170" s="14" t="s">
        <v>74</v>
      </c>
      <c r="C170" s="50"/>
      <c r="D170" s="46"/>
      <c r="E170" s="46"/>
      <c r="F170" s="46"/>
      <c r="G170" s="46"/>
      <c r="H170" s="46"/>
      <c r="I170" s="15">
        <v>553598</v>
      </c>
      <c r="J170" s="46"/>
      <c r="K170" s="46"/>
      <c r="L170" s="47"/>
      <c r="M170" s="47"/>
      <c r="N170" s="47"/>
      <c r="O170" s="46"/>
      <c r="P170" s="47"/>
      <c r="Q170" s="47"/>
      <c r="R170" s="47"/>
      <c r="S170" s="48"/>
      <c r="T170" s="48"/>
      <c r="U170" s="48"/>
      <c r="V170" s="6">
        <f t="shared" si="3"/>
        <v>553598</v>
      </c>
      <c r="W170" s="16" t="s">
        <v>52</v>
      </c>
      <c r="X170" s="12"/>
      <c r="Y170" s="46"/>
      <c r="AF170" s="46"/>
    </row>
    <row r="171" spans="1:32" s="49" customFormat="1" x14ac:dyDescent="0.2">
      <c r="A171" s="2"/>
      <c r="B171" s="10" t="s">
        <v>69</v>
      </c>
      <c r="C171" s="50"/>
      <c r="D171" s="46"/>
      <c r="E171" s="46"/>
      <c r="F171" s="46"/>
      <c r="G171" s="46"/>
      <c r="H171" s="15">
        <f>86983+23081+1</f>
        <v>110065</v>
      </c>
      <c r="I171" s="46"/>
      <c r="J171" s="46"/>
      <c r="K171" s="46"/>
      <c r="L171" s="47"/>
      <c r="M171" s="47"/>
      <c r="N171" s="47"/>
      <c r="O171" s="46"/>
      <c r="P171" s="47"/>
      <c r="Q171" s="47"/>
      <c r="R171" s="47"/>
      <c r="S171" s="48"/>
      <c r="T171" s="48"/>
      <c r="U171" s="48"/>
      <c r="V171" s="6">
        <f t="shared" si="3"/>
        <v>110065</v>
      </c>
      <c r="W171" s="16" t="s">
        <v>52</v>
      </c>
      <c r="X171" s="12"/>
      <c r="AF171" s="46"/>
    </row>
    <row r="172" spans="1:32" s="49" customFormat="1" x14ac:dyDescent="0.2">
      <c r="A172" s="2"/>
      <c r="B172" s="10" t="s">
        <v>80</v>
      </c>
      <c r="C172" s="50"/>
      <c r="D172" s="46"/>
      <c r="E172" s="46"/>
      <c r="F172" s="46"/>
      <c r="G172" s="47"/>
      <c r="H172" s="47"/>
      <c r="I172" s="15">
        <v>48141</v>
      </c>
      <c r="J172" s="23">
        <v>54295</v>
      </c>
      <c r="K172" s="46"/>
      <c r="L172" s="47"/>
      <c r="M172" s="47"/>
      <c r="N172" s="47"/>
      <c r="O172" s="46"/>
      <c r="P172" s="47"/>
      <c r="Q172" s="47"/>
      <c r="R172" s="47"/>
      <c r="S172" s="48"/>
      <c r="T172" s="48"/>
      <c r="U172" s="48"/>
      <c r="V172" s="6">
        <f t="shared" si="3"/>
        <v>102436</v>
      </c>
      <c r="W172" s="16" t="s">
        <v>52</v>
      </c>
      <c r="X172" s="10"/>
      <c r="AF172" s="46"/>
    </row>
    <row r="173" spans="1:32" s="49" customFormat="1" x14ac:dyDescent="0.2">
      <c r="A173" s="2"/>
      <c r="B173" s="10" t="s">
        <v>57</v>
      </c>
      <c r="C173" s="50"/>
      <c r="D173" s="46"/>
      <c r="E173" s="46"/>
      <c r="F173" s="46"/>
      <c r="G173" s="47"/>
      <c r="H173" s="47"/>
      <c r="I173" s="15">
        <v>170861</v>
      </c>
      <c r="J173" s="46"/>
      <c r="K173" s="46"/>
      <c r="L173" s="47"/>
      <c r="M173" s="47"/>
      <c r="N173" s="47"/>
      <c r="O173" s="46"/>
      <c r="P173" s="47"/>
      <c r="Q173" s="47"/>
      <c r="R173" s="47"/>
      <c r="S173" s="48"/>
      <c r="T173" s="48"/>
      <c r="U173" s="48"/>
      <c r="V173" s="6">
        <f t="shared" si="3"/>
        <v>170861</v>
      </c>
      <c r="W173" s="16" t="s">
        <v>52</v>
      </c>
      <c r="X173" s="10"/>
      <c r="AF173" s="46"/>
    </row>
    <row r="174" spans="1:32" s="49" customFormat="1" x14ac:dyDescent="0.2">
      <c r="A174" s="2"/>
      <c r="B174" s="14" t="s">
        <v>42</v>
      </c>
      <c r="C174" s="50"/>
      <c r="D174" s="46"/>
      <c r="E174" s="46"/>
      <c r="F174" s="46"/>
      <c r="G174" s="47"/>
      <c r="H174" s="47"/>
      <c r="I174" s="46"/>
      <c r="J174" s="15">
        <v>102785</v>
      </c>
      <c r="K174" s="46"/>
      <c r="L174" s="47"/>
      <c r="M174" s="47"/>
      <c r="N174" s="47"/>
      <c r="O174" s="46"/>
      <c r="P174" s="47"/>
      <c r="Q174" s="47"/>
      <c r="R174" s="47"/>
      <c r="S174" s="48"/>
      <c r="T174" s="48"/>
      <c r="U174" s="48"/>
      <c r="V174" s="6">
        <f t="shared" si="3"/>
        <v>102785</v>
      </c>
      <c r="W174" s="16" t="s">
        <v>52</v>
      </c>
      <c r="X174" s="10"/>
      <c r="AF174" s="46"/>
    </row>
    <row r="175" spans="1:32" s="49" customFormat="1" x14ac:dyDescent="0.2">
      <c r="A175" s="2"/>
      <c r="B175" s="10" t="s">
        <v>91</v>
      </c>
      <c r="C175" s="46"/>
      <c r="D175" s="46"/>
      <c r="E175" s="46"/>
      <c r="F175" s="46"/>
      <c r="G175" s="47"/>
      <c r="H175" s="47"/>
      <c r="I175" s="46"/>
      <c r="J175" s="15">
        <f>25340+4075</f>
        <v>29415</v>
      </c>
      <c r="K175" s="46"/>
      <c r="L175" s="47"/>
      <c r="M175" s="47"/>
      <c r="N175" s="47"/>
      <c r="O175" s="46"/>
      <c r="P175" s="47"/>
      <c r="Q175" s="47"/>
      <c r="R175" s="47"/>
      <c r="S175" s="48"/>
      <c r="T175" s="48"/>
      <c r="U175" s="48"/>
      <c r="V175" s="6">
        <f t="shared" si="3"/>
        <v>29415</v>
      </c>
      <c r="W175" s="16" t="s">
        <v>52</v>
      </c>
      <c r="X175" s="12"/>
      <c r="AF175" s="46"/>
    </row>
    <row r="176" spans="1:32" s="49" customFormat="1" x14ac:dyDescent="0.2">
      <c r="A176" s="2"/>
      <c r="B176" s="10" t="s">
        <v>100</v>
      </c>
      <c r="C176" s="46"/>
      <c r="D176" s="46"/>
      <c r="E176" s="46"/>
      <c r="F176" s="46"/>
      <c r="G176" s="47"/>
      <c r="H176" s="47"/>
      <c r="I176" s="46"/>
      <c r="J176" s="15">
        <v>6580</v>
      </c>
      <c r="K176" s="80">
        <v>400</v>
      </c>
      <c r="L176" s="47"/>
      <c r="M176" s="47"/>
      <c r="N176" s="47"/>
      <c r="O176" s="46"/>
      <c r="P176" s="47"/>
      <c r="Q176" s="47"/>
      <c r="R176" s="47"/>
      <c r="S176" s="48"/>
      <c r="T176" s="48"/>
      <c r="U176" s="48"/>
      <c r="V176" s="6">
        <f t="shared" si="3"/>
        <v>6980</v>
      </c>
      <c r="W176" s="16" t="s">
        <v>52</v>
      </c>
      <c r="X176" s="12"/>
      <c r="Y176" s="46"/>
      <c r="AF176" s="46"/>
    </row>
    <row r="177" spans="1:32" s="49" customFormat="1" x14ac:dyDescent="0.2">
      <c r="A177" s="2"/>
      <c r="B177" s="10" t="s">
        <v>124</v>
      </c>
      <c r="C177" s="46"/>
      <c r="D177" s="46"/>
      <c r="E177" s="46"/>
      <c r="F177" s="46"/>
      <c r="G177" s="47"/>
      <c r="H177" s="47"/>
      <c r="I177" s="46"/>
      <c r="J177" s="46"/>
      <c r="K177" s="62"/>
      <c r="L177" s="47"/>
      <c r="M177" s="47"/>
      <c r="N177" s="47"/>
      <c r="O177" s="15">
        <v>1774977</v>
      </c>
      <c r="P177" s="47"/>
      <c r="Q177" s="47"/>
      <c r="R177" s="47"/>
      <c r="S177" s="48"/>
      <c r="T177" s="48"/>
      <c r="U177" s="48"/>
      <c r="V177" s="6">
        <f t="shared" si="3"/>
        <v>1774977</v>
      </c>
      <c r="W177" s="16" t="s">
        <v>52</v>
      </c>
      <c r="X177" s="12"/>
      <c r="AF177" s="46"/>
    </row>
    <row r="178" spans="1:32" s="49" customFormat="1" x14ac:dyDescent="0.2">
      <c r="A178" s="2"/>
      <c r="B178" s="10" t="s">
        <v>122</v>
      </c>
      <c r="C178" s="46"/>
      <c r="D178" s="46"/>
      <c r="E178" s="46"/>
      <c r="F178" s="46"/>
      <c r="G178" s="47"/>
      <c r="H178" s="47"/>
      <c r="I178" s="47"/>
      <c r="J178" s="47"/>
      <c r="K178" s="47"/>
      <c r="L178" s="47"/>
      <c r="M178" s="47"/>
      <c r="N178" s="47"/>
      <c r="O178" s="15">
        <v>538884</v>
      </c>
      <c r="P178" s="47"/>
      <c r="Q178" s="47"/>
      <c r="R178" s="47"/>
      <c r="S178" s="48"/>
      <c r="T178" s="48"/>
      <c r="U178" s="48"/>
      <c r="V178" s="6">
        <f t="shared" si="3"/>
        <v>538884</v>
      </c>
      <c r="W178" s="16" t="s">
        <v>52</v>
      </c>
      <c r="X178" s="12"/>
      <c r="AF178" s="46"/>
    </row>
    <row r="179" spans="1:32" s="49" customFormat="1" x14ac:dyDescent="0.2">
      <c r="A179" s="2"/>
      <c r="B179" s="10" t="s">
        <v>123</v>
      </c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15">
        <v>43710</v>
      </c>
      <c r="N179" s="47"/>
      <c r="O179" s="15">
        <v>1186139</v>
      </c>
      <c r="P179" s="47"/>
      <c r="Q179" s="47"/>
      <c r="R179" s="47"/>
      <c r="S179" s="48"/>
      <c r="T179" s="48"/>
      <c r="U179" s="48"/>
      <c r="V179" s="6">
        <f t="shared" si="3"/>
        <v>1229849</v>
      </c>
      <c r="W179" s="16" t="s">
        <v>52</v>
      </c>
      <c r="X179" s="12"/>
      <c r="AF179" s="46"/>
    </row>
    <row r="180" spans="1:32" s="49" customFormat="1" x14ac:dyDescent="0.2">
      <c r="A180" s="2"/>
      <c r="B180" s="10" t="s">
        <v>128</v>
      </c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7"/>
      <c r="O180" s="80">
        <v>100530</v>
      </c>
      <c r="P180" s="15">
        <f>168025+83420+214685</f>
        <v>466130</v>
      </c>
      <c r="Q180" s="47"/>
      <c r="R180" s="47"/>
      <c r="S180" s="48"/>
      <c r="T180" s="48"/>
      <c r="U180" s="48"/>
      <c r="V180" s="6">
        <f t="shared" si="3"/>
        <v>566660</v>
      </c>
      <c r="W180" s="16" t="s">
        <v>52</v>
      </c>
      <c r="X180" s="12"/>
      <c r="AF180" s="46"/>
    </row>
    <row r="181" spans="1:32" s="49" customFormat="1" x14ac:dyDescent="0.2">
      <c r="A181" s="2"/>
      <c r="B181" s="10" t="s">
        <v>131</v>
      </c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7"/>
      <c r="O181" s="47"/>
      <c r="P181" s="15">
        <v>67035</v>
      </c>
      <c r="Q181" s="47"/>
      <c r="R181" s="47"/>
      <c r="S181" s="48"/>
      <c r="T181" s="48"/>
      <c r="U181" s="48"/>
      <c r="V181" s="6">
        <f t="shared" si="3"/>
        <v>67035</v>
      </c>
      <c r="W181" s="16" t="s">
        <v>52</v>
      </c>
      <c r="X181" s="12"/>
      <c r="AF181" s="46"/>
    </row>
    <row r="182" spans="1:32" s="49" customFormat="1" x14ac:dyDescent="0.2">
      <c r="A182" s="2"/>
      <c r="B182" s="10" t="s">
        <v>132</v>
      </c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7"/>
      <c r="O182" s="47"/>
      <c r="P182" s="15">
        <v>25955</v>
      </c>
      <c r="Q182" s="47"/>
      <c r="R182" s="47"/>
      <c r="S182" s="48"/>
      <c r="T182" s="48"/>
      <c r="U182" s="48"/>
      <c r="V182" s="6">
        <f t="shared" si="3"/>
        <v>25955</v>
      </c>
      <c r="W182" s="16" t="s">
        <v>52</v>
      </c>
      <c r="X182" s="12"/>
      <c r="AF182" s="46"/>
    </row>
    <row r="183" spans="1:32" s="49" customFormat="1" x14ac:dyDescent="0.2">
      <c r="A183" s="2"/>
      <c r="B183" s="10" t="s">
        <v>141</v>
      </c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7"/>
      <c r="O183" s="47"/>
      <c r="P183" s="47"/>
      <c r="Q183" s="47"/>
      <c r="R183" s="46"/>
      <c r="S183" s="23">
        <v>304216</v>
      </c>
      <c r="T183" s="53"/>
      <c r="U183" s="53"/>
      <c r="V183" s="6">
        <f t="shared" si="3"/>
        <v>304216</v>
      </c>
      <c r="W183" s="16" t="s">
        <v>52</v>
      </c>
      <c r="X183" s="12"/>
      <c r="Y183" s="46"/>
      <c r="AF183" s="46"/>
    </row>
    <row r="184" spans="1:32" s="49" customFormat="1" x14ac:dyDescent="0.2">
      <c r="A184" s="2"/>
      <c r="B184" s="10" t="s">
        <v>170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7"/>
      <c r="O184" s="47"/>
      <c r="P184" s="47"/>
      <c r="Q184" s="47"/>
      <c r="R184" s="53"/>
      <c r="S184" s="23">
        <f>685925+234500</f>
        <v>920425</v>
      </c>
      <c r="T184" s="53"/>
      <c r="U184" s="53"/>
      <c r="V184" s="6">
        <f t="shared" si="3"/>
        <v>920425</v>
      </c>
      <c r="W184" s="16" t="s">
        <v>52</v>
      </c>
      <c r="X184" s="12"/>
      <c r="Y184" s="46"/>
      <c r="AF184" s="46"/>
    </row>
    <row r="185" spans="1:32" s="49" customFormat="1" x14ac:dyDescent="0.2">
      <c r="A185" s="2"/>
      <c r="B185" s="10" t="s">
        <v>171</v>
      </c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7"/>
      <c r="O185" s="47"/>
      <c r="P185" s="47"/>
      <c r="Q185" s="47"/>
      <c r="R185" s="53"/>
      <c r="S185" s="23">
        <v>1528808</v>
      </c>
      <c r="T185" s="53"/>
      <c r="U185" s="53"/>
      <c r="V185" s="6">
        <f t="shared" si="3"/>
        <v>1528808</v>
      </c>
      <c r="W185" s="16" t="s">
        <v>52</v>
      </c>
      <c r="X185" s="12"/>
      <c r="Y185" s="46"/>
      <c r="AF185" s="46"/>
    </row>
    <row r="186" spans="1:32" s="49" customFormat="1" x14ac:dyDescent="0.2">
      <c r="A186" s="2"/>
      <c r="B186" s="10" t="s">
        <v>172</v>
      </c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7"/>
      <c r="O186" s="47"/>
      <c r="P186" s="47"/>
      <c r="Q186" s="47"/>
      <c r="R186" s="53"/>
      <c r="S186" s="23">
        <v>1279000</v>
      </c>
      <c r="T186" s="53"/>
      <c r="U186" s="53"/>
      <c r="V186" s="6">
        <f t="shared" si="3"/>
        <v>1279000</v>
      </c>
      <c r="W186" s="16" t="s">
        <v>52</v>
      </c>
      <c r="X186" s="12"/>
      <c r="Y186" s="46"/>
      <c r="AF186" s="46"/>
    </row>
    <row r="187" spans="1:32" s="49" customFormat="1" x14ac:dyDescent="0.2">
      <c r="A187" s="2"/>
      <c r="B187" s="10" t="s">
        <v>218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6"/>
      <c r="O187" s="6"/>
      <c r="P187" s="6"/>
      <c r="Q187" s="6"/>
      <c r="R187" s="23"/>
      <c r="S187" s="23"/>
      <c r="T187" s="23">
        <v>338000</v>
      </c>
      <c r="U187" s="23"/>
      <c r="V187" s="6">
        <f t="shared" ref="V187" si="4">SUM(C187:U187)</f>
        <v>338000</v>
      </c>
      <c r="W187" s="16" t="s">
        <v>52</v>
      </c>
      <c r="X187" s="12"/>
      <c r="Y187" s="46"/>
      <c r="AF187" s="46"/>
    </row>
    <row r="188" spans="1:32" s="49" customFormat="1" x14ac:dyDescent="0.2">
      <c r="A188" s="2"/>
      <c r="B188" s="10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7"/>
      <c r="O188" s="47"/>
      <c r="P188" s="47"/>
      <c r="Q188" s="47"/>
      <c r="R188" s="53"/>
      <c r="S188" s="58"/>
      <c r="T188" s="58"/>
      <c r="U188" s="58"/>
      <c r="V188" s="47"/>
      <c r="W188" s="57"/>
      <c r="X188" s="12"/>
      <c r="Y188" s="46"/>
      <c r="AF188" s="46"/>
    </row>
    <row r="189" spans="1:32" s="49" customFormat="1" x14ac:dyDescent="0.2">
      <c r="A189" s="2"/>
      <c r="B189" s="76" t="s">
        <v>97</v>
      </c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7"/>
      <c r="O189" s="47"/>
      <c r="P189" s="47"/>
      <c r="Q189" s="47"/>
      <c r="R189" s="46"/>
      <c r="S189" s="53"/>
      <c r="T189" s="53"/>
      <c r="U189" s="53"/>
      <c r="V189" s="6"/>
      <c r="W189" s="84">
        <f>SUM(V190:V195)</f>
        <v>2741430</v>
      </c>
      <c r="X189" s="12"/>
      <c r="AF189" s="46"/>
    </row>
    <row r="190" spans="1:32" s="49" customFormat="1" x14ac:dyDescent="0.2">
      <c r="A190" s="2"/>
      <c r="B190" s="13" t="s">
        <v>188</v>
      </c>
      <c r="C190" s="50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7"/>
      <c r="O190" s="47"/>
      <c r="P190" s="47"/>
      <c r="Q190" s="47"/>
      <c r="R190" s="15">
        <v>607000</v>
      </c>
      <c r="S190" s="53"/>
      <c r="T190" s="53"/>
      <c r="U190" s="53"/>
      <c r="V190" s="6">
        <f t="shared" ref="V190:V195" si="5">SUM(C190:U190)</f>
        <v>607000</v>
      </c>
      <c r="W190" s="16" t="s">
        <v>52</v>
      </c>
      <c r="X190" s="12"/>
      <c r="AF190" s="46"/>
    </row>
    <row r="191" spans="1:32" s="49" customFormat="1" ht="12" customHeight="1" x14ac:dyDescent="0.2">
      <c r="A191" s="2"/>
      <c r="B191" s="10" t="s">
        <v>114</v>
      </c>
      <c r="C191" s="50"/>
      <c r="D191" s="46"/>
      <c r="E191" s="46"/>
      <c r="F191" s="46"/>
      <c r="G191" s="46"/>
      <c r="H191" s="46"/>
      <c r="I191" s="46"/>
      <c r="J191" s="46"/>
      <c r="K191" s="46"/>
      <c r="L191" s="46"/>
      <c r="M191" s="15">
        <v>50230</v>
      </c>
      <c r="N191" s="47"/>
      <c r="O191" s="47"/>
      <c r="P191" s="47"/>
      <c r="Q191" s="47"/>
      <c r="R191" s="47"/>
      <c r="S191" s="48"/>
      <c r="T191" s="48"/>
      <c r="U191" s="48"/>
      <c r="V191" s="6">
        <f t="shared" si="5"/>
        <v>50230</v>
      </c>
      <c r="W191" s="16" t="s">
        <v>52</v>
      </c>
      <c r="X191" s="10"/>
      <c r="AF191" s="46"/>
    </row>
    <row r="192" spans="1:32" s="49" customFormat="1" ht="12" customHeight="1" x14ac:dyDescent="0.2">
      <c r="A192" s="2"/>
      <c r="B192" s="10" t="s">
        <v>129</v>
      </c>
      <c r="C192" s="29">
        <v>250000</v>
      </c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7"/>
      <c r="O192" s="47"/>
      <c r="P192" s="47"/>
      <c r="Q192" s="47"/>
      <c r="R192" s="47"/>
      <c r="S192" s="48"/>
      <c r="T192" s="48"/>
      <c r="U192" s="48"/>
      <c r="V192" s="6">
        <f t="shared" si="5"/>
        <v>250000</v>
      </c>
      <c r="W192" s="16" t="s">
        <v>52</v>
      </c>
      <c r="X192" s="10"/>
      <c r="AF192" s="46"/>
    </row>
    <row r="193" spans="1:32" s="49" customFormat="1" ht="12" customHeight="1" x14ac:dyDescent="0.2">
      <c r="A193" s="2"/>
      <c r="B193" s="10" t="s">
        <v>193</v>
      </c>
      <c r="C193" s="50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7"/>
      <c r="O193" s="47"/>
      <c r="P193" s="47"/>
      <c r="Q193" s="47"/>
      <c r="R193" s="47"/>
      <c r="S193" s="48"/>
      <c r="T193" s="48"/>
      <c r="U193" s="23">
        <v>500000</v>
      </c>
      <c r="V193" s="6">
        <f t="shared" si="5"/>
        <v>500000</v>
      </c>
      <c r="W193" s="16" t="s">
        <v>52</v>
      </c>
      <c r="X193" s="10"/>
      <c r="AF193" s="46"/>
    </row>
    <row r="194" spans="1:32" s="49" customFormat="1" ht="12" customHeight="1" x14ac:dyDescent="0.2">
      <c r="A194" s="2"/>
      <c r="B194" s="10" t="s">
        <v>214</v>
      </c>
      <c r="C194" s="50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7"/>
      <c r="O194" s="47"/>
      <c r="P194" s="47"/>
      <c r="Q194" s="47"/>
      <c r="R194" s="47"/>
      <c r="S194" s="48"/>
      <c r="T194" s="48"/>
      <c r="U194" s="23">
        <v>300000</v>
      </c>
      <c r="V194" s="6">
        <f t="shared" si="5"/>
        <v>300000</v>
      </c>
      <c r="W194" s="16" t="s">
        <v>52</v>
      </c>
      <c r="X194" s="10"/>
      <c r="AF194" s="46"/>
    </row>
    <row r="195" spans="1:32" s="49" customFormat="1" ht="12" customHeight="1" x14ac:dyDescent="0.2">
      <c r="A195" s="2"/>
      <c r="B195" s="10" t="s">
        <v>215</v>
      </c>
      <c r="C195" s="50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7"/>
      <c r="O195" s="47"/>
      <c r="P195" s="47"/>
      <c r="Q195" s="47"/>
      <c r="R195" s="47"/>
      <c r="S195" s="48"/>
      <c r="T195" s="48"/>
      <c r="U195" s="23">
        <f>234200+800000</f>
        <v>1034200</v>
      </c>
      <c r="V195" s="6">
        <f t="shared" si="5"/>
        <v>1034200</v>
      </c>
      <c r="W195" s="16" t="s">
        <v>52</v>
      </c>
      <c r="X195" s="10"/>
      <c r="AF195" s="46"/>
    </row>
    <row r="196" spans="1:32" s="49" customFormat="1" ht="12" customHeight="1" x14ac:dyDescent="0.2">
      <c r="A196" s="2"/>
      <c r="B196" s="10"/>
      <c r="C196" s="50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7"/>
      <c r="O196" s="47"/>
      <c r="P196" s="47"/>
      <c r="Q196" s="47"/>
      <c r="R196" s="47"/>
      <c r="S196" s="48"/>
      <c r="T196" s="48"/>
      <c r="U196" s="48"/>
      <c r="V196" s="47"/>
      <c r="W196" s="57"/>
      <c r="X196" s="10"/>
      <c r="AF196" s="46"/>
    </row>
    <row r="197" spans="1:32" s="49" customFormat="1" x14ac:dyDescent="0.2">
      <c r="A197" s="2"/>
      <c r="B197" s="76" t="s">
        <v>98</v>
      </c>
      <c r="C197" s="50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7"/>
      <c r="O197" s="47"/>
      <c r="P197" s="47"/>
      <c r="Q197" s="47"/>
      <c r="R197" s="47"/>
      <c r="S197" s="48"/>
      <c r="T197" s="48"/>
      <c r="U197" s="48"/>
      <c r="V197" s="6"/>
      <c r="W197" s="84">
        <f>V198</f>
        <v>0</v>
      </c>
      <c r="X197" s="10"/>
      <c r="AF197" s="46"/>
    </row>
    <row r="198" spans="1:32" s="49" customFormat="1" x14ac:dyDescent="0.2">
      <c r="A198" s="2"/>
      <c r="B198" s="10" t="s">
        <v>116</v>
      </c>
      <c r="C198" s="50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7"/>
      <c r="O198" s="47"/>
      <c r="P198" s="46"/>
      <c r="Q198" s="46"/>
      <c r="R198" s="46"/>
      <c r="S198" s="48"/>
      <c r="T198" s="48"/>
      <c r="U198" s="48"/>
      <c r="V198" s="6">
        <f>SUM(C198:U198)</f>
        <v>0</v>
      </c>
      <c r="W198" s="16" t="s">
        <v>52</v>
      </c>
      <c r="X198" s="10"/>
      <c r="AF198" s="46"/>
    </row>
    <row r="199" spans="1:32" s="49" customFormat="1" x14ac:dyDescent="0.2">
      <c r="A199" s="2"/>
      <c r="B199" s="10"/>
      <c r="C199" s="50"/>
      <c r="D199" s="46"/>
      <c r="E199" s="46"/>
      <c r="F199" s="46"/>
      <c r="G199" s="46"/>
      <c r="H199" s="46"/>
      <c r="I199" s="46"/>
      <c r="J199" s="46"/>
      <c r="K199" s="46"/>
      <c r="L199" s="46"/>
      <c r="M199" s="60"/>
      <c r="N199" s="47"/>
      <c r="O199" s="47"/>
      <c r="P199" s="47"/>
      <c r="Q199" s="47"/>
      <c r="R199" s="47"/>
      <c r="S199" s="48"/>
      <c r="T199" s="48"/>
      <c r="U199" s="48"/>
      <c r="V199" s="47"/>
      <c r="W199" s="57"/>
      <c r="X199" s="10"/>
      <c r="AF199" s="46"/>
    </row>
    <row r="200" spans="1:32" s="49" customFormat="1" x14ac:dyDescent="0.2">
      <c r="A200" s="2"/>
      <c r="B200" s="76" t="s">
        <v>125</v>
      </c>
      <c r="C200" s="50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7"/>
      <c r="O200" s="47"/>
      <c r="P200" s="47"/>
      <c r="Q200" s="47"/>
      <c r="R200" s="47"/>
      <c r="S200" s="48"/>
      <c r="T200" s="48"/>
      <c r="U200" s="48"/>
      <c r="V200" s="6"/>
      <c r="W200" s="84">
        <f>SUM(V201:V203)</f>
        <v>3345462</v>
      </c>
      <c r="X200" s="10"/>
      <c r="AF200" s="46"/>
    </row>
    <row r="201" spans="1:32" s="49" customFormat="1" ht="14.25" customHeight="1" x14ac:dyDescent="0.2">
      <c r="A201" s="2"/>
      <c r="B201" s="14" t="s">
        <v>92</v>
      </c>
      <c r="C201" s="46"/>
      <c r="D201" s="50"/>
      <c r="E201" s="46"/>
      <c r="F201" s="46"/>
      <c r="G201" s="15">
        <f>264211+63411</f>
        <v>327622</v>
      </c>
      <c r="H201" s="46"/>
      <c r="I201" s="46"/>
      <c r="J201" s="46"/>
      <c r="K201" s="46"/>
      <c r="L201" s="46"/>
      <c r="M201" s="46"/>
      <c r="N201" s="47"/>
      <c r="O201" s="47"/>
      <c r="P201" s="47"/>
      <c r="Q201" s="47"/>
      <c r="R201" s="47"/>
      <c r="S201" s="48"/>
      <c r="T201" s="48"/>
      <c r="U201" s="48"/>
      <c r="V201" s="6">
        <f>SUM(C201:U201)</f>
        <v>327622</v>
      </c>
      <c r="W201" s="16" t="s">
        <v>52</v>
      </c>
      <c r="X201" s="18"/>
      <c r="AF201" s="46"/>
    </row>
    <row r="202" spans="1:32" s="49" customFormat="1" x14ac:dyDescent="0.2">
      <c r="A202" s="2"/>
      <c r="B202" s="10" t="s">
        <v>115</v>
      </c>
      <c r="C202" s="50"/>
      <c r="D202" s="50"/>
      <c r="E202" s="46"/>
      <c r="F202" s="46"/>
      <c r="G202" s="46"/>
      <c r="H202" s="46"/>
      <c r="I202" s="15">
        <v>4505</v>
      </c>
      <c r="J202" s="15">
        <v>219140</v>
      </c>
      <c r="K202" s="46"/>
      <c r="L202" s="46"/>
      <c r="M202" s="46"/>
      <c r="N202" s="47"/>
      <c r="O202" s="47"/>
      <c r="P202" s="47"/>
      <c r="Q202" s="47"/>
      <c r="R202" s="47"/>
      <c r="S202" s="48"/>
      <c r="T202" s="48"/>
      <c r="U202" s="48"/>
      <c r="V202" s="6">
        <f>SUM(C202:U202)</f>
        <v>223645</v>
      </c>
      <c r="W202" s="16" t="s">
        <v>52</v>
      </c>
      <c r="X202" s="19"/>
      <c r="AF202" s="46"/>
    </row>
    <row r="203" spans="1:32" s="49" customFormat="1" x14ac:dyDescent="0.2">
      <c r="A203" s="2"/>
      <c r="B203" s="10" t="s">
        <v>115</v>
      </c>
      <c r="C203" s="50"/>
      <c r="D203" s="50"/>
      <c r="E203" s="46"/>
      <c r="F203" s="46"/>
      <c r="G203" s="46"/>
      <c r="H203" s="46"/>
      <c r="I203" s="46"/>
      <c r="J203" s="46"/>
      <c r="K203" s="80">
        <v>175240</v>
      </c>
      <c r="L203" s="80">
        <v>1994135</v>
      </c>
      <c r="M203" s="15">
        <v>624820</v>
      </c>
      <c r="N203" s="47"/>
      <c r="O203" s="47"/>
      <c r="P203" s="47"/>
      <c r="Q203" s="47"/>
      <c r="R203" s="47"/>
      <c r="S203" s="48"/>
      <c r="T203" s="48"/>
      <c r="U203" s="48"/>
      <c r="V203" s="6">
        <f>SUM(C203:U203)</f>
        <v>2794195</v>
      </c>
      <c r="W203" s="16" t="s">
        <v>52</v>
      </c>
      <c r="X203" s="10"/>
      <c r="Y203" s="46"/>
      <c r="AF203" s="46"/>
    </row>
    <row r="204" spans="1:32" s="49" customFormat="1" x14ac:dyDescent="0.2">
      <c r="A204" s="2"/>
      <c r="B204" s="10"/>
      <c r="C204" s="50"/>
      <c r="D204" s="46"/>
      <c r="E204" s="46"/>
      <c r="F204" s="46"/>
      <c r="G204" s="47"/>
      <c r="H204" s="47"/>
      <c r="I204" s="47"/>
      <c r="J204" s="47"/>
      <c r="K204" s="62"/>
      <c r="L204" s="62"/>
      <c r="M204" s="47"/>
      <c r="N204" s="47"/>
      <c r="O204" s="47"/>
      <c r="P204" s="47"/>
      <c r="Q204" s="47"/>
      <c r="R204" s="47"/>
      <c r="S204" s="48"/>
      <c r="T204" s="48"/>
      <c r="U204" s="48"/>
      <c r="V204" s="47"/>
      <c r="W204" s="57"/>
      <c r="X204" s="10"/>
      <c r="AF204" s="46"/>
    </row>
    <row r="205" spans="1:32" s="49" customFormat="1" x14ac:dyDescent="0.2">
      <c r="A205" s="2"/>
      <c r="B205" s="76" t="s">
        <v>99</v>
      </c>
      <c r="C205" s="50"/>
      <c r="D205" s="46"/>
      <c r="E205" s="46"/>
      <c r="F205" s="46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8"/>
      <c r="T205" s="48"/>
      <c r="U205" s="31"/>
      <c r="V205" s="6"/>
      <c r="W205" s="84">
        <f>V206</f>
        <v>2231998</v>
      </c>
      <c r="X205" s="10"/>
      <c r="Y205" s="46"/>
      <c r="AF205" s="46"/>
    </row>
    <row r="206" spans="1:32" s="49" customFormat="1" x14ac:dyDescent="0.2">
      <c r="A206" s="2"/>
      <c r="B206" s="77" t="s">
        <v>191</v>
      </c>
      <c r="C206" s="50"/>
      <c r="D206" s="46"/>
      <c r="E206" s="46"/>
      <c r="F206" s="46"/>
      <c r="G206" s="47"/>
      <c r="H206" s="47"/>
      <c r="I206" s="47"/>
      <c r="J206" s="47"/>
      <c r="K206" s="47"/>
      <c r="L206" s="47"/>
      <c r="M206" s="47"/>
      <c r="N206" s="47"/>
      <c r="O206" s="47"/>
      <c r="P206" s="15">
        <v>14000</v>
      </c>
      <c r="Q206" s="15">
        <v>44000</v>
      </c>
      <c r="R206" s="46"/>
      <c r="S206" s="23">
        <v>20000</v>
      </c>
      <c r="T206" s="48"/>
      <c r="U206" s="23">
        <v>2153998</v>
      </c>
      <c r="V206" s="6">
        <f>SUM(C206:U206)</f>
        <v>2231998</v>
      </c>
      <c r="W206" s="16" t="s">
        <v>52</v>
      </c>
      <c r="X206" s="10"/>
      <c r="Y206" s="49" t="s">
        <v>174</v>
      </c>
      <c r="AF206" s="46"/>
    </row>
    <row r="207" spans="1:32" s="49" customFormat="1" x14ac:dyDescent="0.2">
      <c r="A207" s="2"/>
      <c r="B207" s="77"/>
      <c r="C207" s="50"/>
      <c r="D207" s="46"/>
      <c r="E207" s="46"/>
      <c r="F207" s="46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6"/>
      <c r="S207" s="48"/>
      <c r="T207" s="48"/>
      <c r="U207" s="25"/>
      <c r="V207" s="6"/>
      <c r="W207" s="16"/>
      <c r="X207" s="10"/>
      <c r="Y207" s="46"/>
      <c r="AF207" s="46"/>
    </row>
    <row r="208" spans="1:32" s="49" customFormat="1" x14ac:dyDescent="0.2">
      <c r="A208" s="2"/>
      <c r="B208" s="21" t="s">
        <v>17</v>
      </c>
      <c r="C208" s="30">
        <f t="shared" ref="C208:N208" si="6">SUM(C10:C207)</f>
        <v>250000</v>
      </c>
      <c r="D208" s="69">
        <f t="shared" si="6"/>
        <v>889156</v>
      </c>
      <c r="E208" s="30">
        <f t="shared" si="6"/>
        <v>10809.039999999999</v>
      </c>
      <c r="F208" s="68">
        <f t="shared" si="6"/>
        <v>-964.97583999999983</v>
      </c>
      <c r="G208" s="30">
        <f t="shared" si="6"/>
        <v>2906859</v>
      </c>
      <c r="H208" s="30">
        <f t="shared" si="6"/>
        <v>2627063</v>
      </c>
      <c r="I208" s="30">
        <f t="shared" si="6"/>
        <v>1681696</v>
      </c>
      <c r="J208" s="30">
        <f t="shared" si="6"/>
        <v>935785</v>
      </c>
      <c r="K208" s="30">
        <f t="shared" si="6"/>
        <v>435465</v>
      </c>
      <c r="L208" s="30">
        <f t="shared" si="6"/>
        <v>1994135</v>
      </c>
      <c r="M208" s="30">
        <f t="shared" si="6"/>
        <v>2010795</v>
      </c>
      <c r="N208" s="30">
        <f t="shared" si="6"/>
        <v>0</v>
      </c>
      <c r="O208" s="30">
        <f t="shared" ref="O208:U208" si="7">SUM(O11:O207)</f>
        <v>4019780</v>
      </c>
      <c r="P208" s="30">
        <f t="shared" si="7"/>
        <v>1160548</v>
      </c>
      <c r="Q208" s="30">
        <f t="shared" si="7"/>
        <v>1761075</v>
      </c>
      <c r="R208" s="30">
        <f t="shared" si="7"/>
        <v>1487850</v>
      </c>
      <c r="S208" s="30">
        <f t="shared" si="7"/>
        <v>5243137</v>
      </c>
      <c r="T208" s="30">
        <f t="shared" si="7"/>
        <v>2163058</v>
      </c>
      <c r="U208" s="30">
        <f t="shared" si="7"/>
        <v>8958354</v>
      </c>
      <c r="V208" s="30">
        <f>SUM(V10:V207)</f>
        <v>38367367.064160004</v>
      </c>
      <c r="W208" s="36">
        <f>SUM(C208:U208)</f>
        <v>38534600.064160004</v>
      </c>
      <c r="X208" s="16">
        <f>V208-W208</f>
        <v>-167233</v>
      </c>
      <c r="Y208" s="67">
        <f>W150+W146+W134+W123+W116+W109+W103+W99+W90+W85+W78+W65+W59+W53+W46+W42+W35+W18+W14+W23+W10+W74</f>
        <v>35923306.272479996</v>
      </c>
      <c r="AF208" s="46"/>
    </row>
    <row r="209" spans="1:25" s="49" customFormat="1" x14ac:dyDescent="0.2">
      <c r="A209" s="2"/>
      <c r="B209" s="7"/>
      <c r="C209" s="56"/>
      <c r="D209" s="56"/>
      <c r="E209" s="56"/>
      <c r="F209" s="56"/>
      <c r="G209" s="42"/>
      <c r="H209" s="42"/>
      <c r="I209" s="42"/>
      <c r="J209" s="42"/>
      <c r="K209" s="42"/>
      <c r="L209" s="42"/>
      <c r="M209" s="42"/>
      <c r="N209" s="56"/>
      <c r="O209" s="56"/>
      <c r="P209" s="56"/>
      <c r="Q209" s="56"/>
      <c r="R209" s="56"/>
      <c r="S209" s="70"/>
      <c r="T209" s="70"/>
      <c r="U209" s="70"/>
      <c r="V209" s="56"/>
      <c r="W209" s="42"/>
      <c r="X209" s="78"/>
      <c r="Y209" s="67">
        <f>W208+X208</f>
        <v>38367367.064160004</v>
      </c>
    </row>
    <row r="210" spans="1:25" s="49" customFormat="1" x14ac:dyDescent="0.2">
      <c r="A210" s="2"/>
      <c r="B210" s="10"/>
      <c r="C210" s="50"/>
      <c r="D210" s="46"/>
      <c r="E210" s="46"/>
      <c r="F210" s="46"/>
      <c r="G210" s="46"/>
      <c r="H210" s="46"/>
      <c r="I210" s="46"/>
      <c r="J210" s="46"/>
      <c r="K210" s="46"/>
      <c r="L210" s="46"/>
      <c r="M210" s="47"/>
      <c r="N210" s="46"/>
      <c r="O210" s="46"/>
      <c r="P210" s="46"/>
      <c r="Q210" s="46"/>
      <c r="R210" s="46"/>
      <c r="S210" s="53"/>
      <c r="T210" s="53"/>
      <c r="U210" s="53"/>
      <c r="V210" s="60"/>
      <c r="W210" s="46"/>
      <c r="X210" s="17"/>
    </row>
    <row r="211" spans="1:25" s="49" customFormat="1" x14ac:dyDescent="0.2">
      <c r="A211" s="2"/>
      <c r="B211" s="10"/>
      <c r="C211" s="50"/>
      <c r="D211" s="46"/>
      <c r="E211" s="46"/>
      <c r="F211" s="46"/>
      <c r="G211" s="46"/>
      <c r="H211" s="46"/>
      <c r="I211" s="46"/>
      <c r="J211" s="46"/>
      <c r="K211" s="46"/>
      <c r="L211" s="46"/>
      <c r="M211" s="47"/>
      <c r="N211" s="46"/>
      <c r="O211" s="46"/>
      <c r="P211" s="46"/>
      <c r="Q211" s="46"/>
      <c r="R211" s="46"/>
      <c r="S211" s="53"/>
      <c r="T211" s="53"/>
      <c r="U211" s="53"/>
      <c r="V211" s="60"/>
      <c r="W211" s="46"/>
      <c r="X211" s="17"/>
    </row>
    <row r="212" spans="1:25" s="49" customFormat="1" x14ac:dyDescent="0.2">
      <c r="A212" s="2"/>
      <c r="B212" s="10"/>
      <c r="C212" s="50"/>
      <c r="D212" s="46"/>
      <c r="E212" s="46"/>
      <c r="F212" s="46"/>
      <c r="G212" s="46"/>
      <c r="H212" s="46"/>
      <c r="I212" s="46"/>
      <c r="J212" s="46"/>
      <c r="K212" s="46"/>
      <c r="L212" s="46"/>
      <c r="M212" s="47"/>
      <c r="N212" s="46"/>
      <c r="O212" s="46"/>
      <c r="P212" s="46"/>
      <c r="Q212" s="46"/>
      <c r="R212" s="46"/>
      <c r="S212" s="53"/>
      <c r="T212" s="53"/>
      <c r="U212" s="53"/>
      <c r="V212" s="60"/>
      <c r="W212" s="46"/>
      <c r="X212" s="17"/>
    </row>
    <row r="213" spans="1:25" s="49" customFormat="1" x14ac:dyDescent="0.2">
      <c r="A213" s="2"/>
      <c r="B213" s="10"/>
      <c r="C213" s="50"/>
      <c r="D213" s="46"/>
      <c r="E213" s="46"/>
      <c r="F213" s="46"/>
      <c r="G213" s="46"/>
      <c r="H213" s="46"/>
      <c r="I213" s="46"/>
      <c r="J213" s="46"/>
      <c r="K213" s="46"/>
      <c r="L213" s="46"/>
      <c r="M213" s="47"/>
      <c r="N213" s="46"/>
      <c r="O213" s="46"/>
      <c r="P213" s="46"/>
      <c r="Q213" s="46"/>
      <c r="R213" s="46"/>
      <c r="S213" s="53"/>
      <c r="T213" s="53"/>
      <c r="U213" s="53"/>
      <c r="V213" s="60"/>
      <c r="W213" s="46"/>
      <c r="X213" s="17"/>
    </row>
    <row r="214" spans="1:25" s="49" customFormat="1" x14ac:dyDescent="0.2">
      <c r="A214" s="2"/>
      <c r="B214" s="10"/>
      <c r="C214" s="50"/>
      <c r="D214" s="46"/>
      <c r="E214" s="46"/>
      <c r="F214" s="46"/>
      <c r="G214" s="46"/>
      <c r="H214" s="46"/>
      <c r="I214" s="46"/>
      <c r="J214" s="46"/>
      <c r="K214" s="46"/>
      <c r="L214" s="46"/>
      <c r="M214" s="47"/>
      <c r="N214" s="46"/>
      <c r="O214" s="46"/>
      <c r="P214" s="46"/>
      <c r="Q214" s="46"/>
      <c r="R214" s="46"/>
      <c r="S214" s="53"/>
      <c r="T214" s="53"/>
      <c r="U214" s="53"/>
      <c r="V214" s="60"/>
      <c r="W214" s="46"/>
      <c r="X214" s="17"/>
    </row>
    <row r="215" spans="1:25" s="49" customFormat="1" x14ac:dyDescent="0.2">
      <c r="A215" s="2"/>
      <c r="B215" s="10"/>
      <c r="C215" s="50"/>
      <c r="D215" s="46"/>
      <c r="E215" s="46"/>
      <c r="F215" s="46"/>
      <c r="G215" s="46"/>
      <c r="H215" s="46"/>
      <c r="I215" s="46"/>
      <c r="J215" s="46"/>
      <c r="K215" s="46"/>
      <c r="L215" s="46"/>
      <c r="M215" s="47"/>
      <c r="N215" s="46"/>
      <c r="O215" s="46"/>
      <c r="P215" s="46"/>
      <c r="Q215" s="46"/>
      <c r="R215" s="46"/>
      <c r="S215" s="53"/>
      <c r="T215" s="53"/>
      <c r="U215" s="53"/>
      <c r="V215" s="60"/>
      <c r="W215" s="46"/>
      <c r="X215" s="17"/>
    </row>
    <row r="216" spans="1:25" s="49" customFormat="1" x14ac:dyDescent="0.2">
      <c r="A216" s="2"/>
      <c r="B216" s="10"/>
      <c r="C216" s="50"/>
      <c r="D216" s="46"/>
      <c r="E216" s="46"/>
      <c r="F216" s="46"/>
      <c r="G216" s="46"/>
      <c r="H216" s="46"/>
      <c r="I216" s="46"/>
      <c r="J216" s="46"/>
      <c r="K216" s="46"/>
      <c r="L216" s="46"/>
      <c r="M216" s="47"/>
      <c r="N216" s="46"/>
      <c r="O216" s="46"/>
      <c r="P216" s="46"/>
      <c r="Q216" s="46"/>
      <c r="R216" s="46"/>
      <c r="S216" s="53"/>
      <c r="T216" s="53"/>
      <c r="U216" s="53"/>
      <c r="V216" s="60"/>
      <c r="W216" s="46"/>
      <c r="X216" s="17"/>
    </row>
    <row r="217" spans="1:25" s="49" customFormat="1" x14ac:dyDescent="0.2">
      <c r="A217" s="2"/>
      <c r="B217" s="10"/>
      <c r="C217" s="50"/>
      <c r="D217" s="46"/>
      <c r="E217" s="46"/>
      <c r="F217" s="46"/>
      <c r="G217" s="46"/>
      <c r="H217" s="46"/>
      <c r="I217" s="46"/>
      <c r="J217" s="46"/>
      <c r="K217" s="46"/>
      <c r="L217" s="46"/>
      <c r="M217" s="47"/>
      <c r="N217" s="46"/>
      <c r="O217" s="46"/>
      <c r="P217" s="46"/>
      <c r="Q217" s="46"/>
      <c r="R217" s="46"/>
      <c r="S217" s="53"/>
      <c r="T217" s="53"/>
      <c r="U217" s="53"/>
      <c r="V217" s="60"/>
      <c r="W217" s="46"/>
      <c r="X217" s="17"/>
    </row>
    <row r="218" spans="1:25" s="49" customFormat="1" x14ac:dyDescent="0.2">
      <c r="A218" s="2"/>
      <c r="B218" s="10"/>
      <c r="C218" s="50"/>
      <c r="D218" s="46"/>
      <c r="E218" s="46"/>
      <c r="F218" s="46"/>
      <c r="G218" s="46"/>
      <c r="H218" s="46"/>
      <c r="I218" s="46"/>
      <c r="J218" s="46"/>
      <c r="K218" s="46"/>
      <c r="L218" s="46"/>
      <c r="M218" s="47"/>
      <c r="N218" s="46"/>
      <c r="O218" s="46"/>
      <c r="P218" s="46"/>
      <c r="Q218" s="46"/>
      <c r="R218" s="46"/>
      <c r="S218" s="53"/>
      <c r="T218" s="53"/>
      <c r="U218" s="53"/>
      <c r="V218" s="60"/>
      <c r="W218" s="46"/>
      <c r="X218" s="17"/>
    </row>
    <row r="219" spans="1:25" s="49" customFormat="1" x14ac:dyDescent="0.2">
      <c r="A219" s="2"/>
      <c r="B219" s="10"/>
      <c r="C219" s="50"/>
      <c r="D219" s="46"/>
      <c r="E219" s="46"/>
      <c r="F219" s="46"/>
      <c r="G219" s="46"/>
      <c r="H219" s="46"/>
      <c r="I219" s="46"/>
      <c r="J219" s="46"/>
      <c r="K219" s="46"/>
      <c r="L219" s="46"/>
      <c r="M219" s="47"/>
      <c r="N219" s="46"/>
      <c r="O219" s="46"/>
      <c r="P219" s="46"/>
      <c r="Q219" s="46"/>
      <c r="R219" s="46"/>
      <c r="S219" s="53"/>
      <c r="T219" s="53"/>
      <c r="U219" s="53"/>
      <c r="V219" s="60"/>
      <c r="W219" s="46"/>
      <c r="X219" s="10"/>
    </row>
    <row r="220" spans="1:25" s="49" customFormat="1" x14ac:dyDescent="0.2">
      <c r="A220" s="2"/>
      <c r="B220" s="10"/>
      <c r="C220" s="50"/>
      <c r="D220" s="46"/>
      <c r="E220" s="46"/>
      <c r="F220" s="46"/>
      <c r="G220" s="46"/>
      <c r="H220" s="46"/>
      <c r="I220" s="46"/>
      <c r="J220" s="46"/>
      <c r="K220" s="46"/>
      <c r="L220" s="46"/>
      <c r="M220" s="47"/>
      <c r="N220" s="46"/>
      <c r="O220" s="46"/>
      <c r="P220" s="46"/>
      <c r="Q220" s="46"/>
      <c r="R220" s="46"/>
      <c r="S220" s="53"/>
      <c r="T220" s="53"/>
      <c r="U220" s="53"/>
      <c r="V220" s="60"/>
      <c r="W220" s="46"/>
      <c r="X220" s="10"/>
    </row>
    <row r="221" spans="1:25" s="49" customFormat="1" x14ac:dyDescent="0.2">
      <c r="A221" s="10"/>
      <c r="B221" s="10"/>
      <c r="C221" s="50"/>
      <c r="D221" s="46"/>
      <c r="E221" s="46"/>
      <c r="F221" s="46"/>
      <c r="G221" s="46"/>
      <c r="H221" s="46"/>
      <c r="I221" s="46"/>
      <c r="J221" s="46"/>
      <c r="K221" s="46"/>
      <c r="L221" s="46"/>
      <c r="M221" s="47"/>
      <c r="N221" s="46"/>
      <c r="O221" s="46"/>
      <c r="P221" s="46"/>
      <c r="Q221" s="46"/>
      <c r="R221" s="46"/>
      <c r="S221" s="53"/>
      <c r="T221" s="53"/>
      <c r="U221" s="53"/>
      <c r="V221" s="60"/>
      <c r="W221" s="46"/>
      <c r="X221" s="10"/>
    </row>
    <row r="222" spans="1:25" x14ac:dyDescent="0.2">
      <c r="C222" s="71"/>
      <c r="G222" s="46"/>
      <c r="H222" s="46"/>
      <c r="I222" s="46"/>
      <c r="J222" s="46"/>
      <c r="K222" s="46"/>
      <c r="L222" s="46"/>
      <c r="N222" s="46"/>
      <c r="O222" s="46"/>
      <c r="P222" s="46"/>
      <c r="Q222" s="46"/>
      <c r="R222" s="46"/>
      <c r="S222" s="53"/>
      <c r="T222" s="53"/>
      <c r="U222" s="53"/>
      <c r="V222" s="60"/>
    </row>
    <row r="223" spans="1:25" x14ac:dyDescent="0.2">
      <c r="C223" s="71"/>
      <c r="G223" s="46"/>
      <c r="H223" s="46"/>
      <c r="I223" s="46"/>
      <c r="J223" s="46"/>
      <c r="K223" s="46"/>
      <c r="L223" s="46"/>
      <c r="N223" s="46"/>
      <c r="O223" s="46"/>
      <c r="P223" s="46"/>
      <c r="Q223" s="46"/>
      <c r="R223" s="46"/>
      <c r="S223" s="53"/>
      <c r="T223" s="53"/>
      <c r="U223" s="53"/>
      <c r="V223" s="60"/>
    </row>
    <row r="224" spans="1:25" x14ac:dyDescent="0.2">
      <c r="C224" s="71"/>
      <c r="G224" s="46"/>
      <c r="H224" s="46"/>
      <c r="I224" s="46"/>
      <c r="J224" s="46"/>
      <c r="K224" s="46"/>
      <c r="L224" s="46"/>
      <c r="N224" s="46"/>
      <c r="O224" s="46"/>
      <c r="P224" s="46"/>
      <c r="Q224" s="46"/>
      <c r="R224" s="46"/>
      <c r="S224" s="53"/>
      <c r="T224" s="53"/>
      <c r="U224" s="53"/>
      <c r="V224" s="60"/>
    </row>
    <row r="225" spans="3:22" x14ac:dyDescent="0.2">
      <c r="C225" s="71"/>
      <c r="G225" s="46"/>
      <c r="H225" s="46"/>
      <c r="I225" s="46"/>
      <c r="J225" s="46"/>
      <c r="K225" s="46"/>
      <c r="L225" s="46"/>
      <c r="N225" s="46"/>
      <c r="O225" s="46"/>
      <c r="P225" s="46"/>
      <c r="Q225" s="46"/>
      <c r="R225" s="46"/>
      <c r="S225" s="53"/>
      <c r="T225" s="53"/>
      <c r="U225" s="53"/>
      <c r="V225" s="60"/>
    </row>
    <row r="226" spans="3:22" x14ac:dyDescent="0.2">
      <c r="C226" s="71"/>
      <c r="G226" s="46"/>
      <c r="H226" s="46"/>
      <c r="I226" s="46"/>
      <c r="J226" s="46"/>
      <c r="K226" s="46"/>
      <c r="L226" s="46"/>
      <c r="N226" s="46"/>
      <c r="O226" s="46"/>
      <c r="P226" s="46"/>
      <c r="Q226" s="46"/>
      <c r="R226" s="46"/>
      <c r="S226" s="53"/>
      <c r="T226" s="53"/>
      <c r="U226" s="53"/>
      <c r="V226" s="60"/>
    </row>
    <row r="227" spans="3:22" x14ac:dyDescent="0.2">
      <c r="C227" s="71"/>
      <c r="G227" s="46"/>
      <c r="H227" s="46"/>
      <c r="I227" s="46"/>
      <c r="J227" s="46"/>
      <c r="K227" s="46"/>
      <c r="L227" s="46"/>
      <c r="N227" s="46"/>
      <c r="O227" s="46"/>
      <c r="P227" s="46"/>
      <c r="Q227" s="46"/>
      <c r="R227" s="46"/>
      <c r="S227" s="53"/>
      <c r="T227" s="53"/>
      <c r="U227" s="53"/>
      <c r="V227" s="60"/>
    </row>
    <row r="228" spans="3:22" x14ac:dyDescent="0.2">
      <c r="C228" s="71"/>
      <c r="G228" s="46"/>
      <c r="H228" s="46"/>
      <c r="I228" s="46"/>
      <c r="J228" s="46"/>
      <c r="K228" s="46"/>
      <c r="L228" s="46"/>
      <c r="N228" s="46"/>
      <c r="O228" s="46"/>
      <c r="P228" s="46"/>
      <c r="Q228" s="46"/>
      <c r="R228" s="46"/>
      <c r="S228" s="53"/>
      <c r="T228" s="53"/>
      <c r="U228" s="53"/>
      <c r="V228" s="60"/>
    </row>
    <row r="229" spans="3:22" x14ac:dyDescent="0.2">
      <c r="C229" s="71"/>
      <c r="G229" s="46"/>
      <c r="H229" s="46"/>
      <c r="I229" s="46"/>
      <c r="J229" s="46"/>
      <c r="K229" s="46"/>
      <c r="L229" s="46"/>
      <c r="N229" s="46"/>
      <c r="O229" s="46"/>
      <c r="P229" s="46"/>
      <c r="Q229" s="46"/>
      <c r="R229" s="46"/>
      <c r="S229" s="53"/>
      <c r="T229" s="53"/>
      <c r="U229" s="53"/>
      <c r="V229" s="60"/>
    </row>
    <row r="230" spans="3:22" x14ac:dyDescent="0.2">
      <c r="C230" s="71"/>
      <c r="G230" s="46"/>
      <c r="H230" s="46"/>
      <c r="I230" s="46"/>
      <c r="J230" s="46"/>
      <c r="K230" s="46"/>
      <c r="L230" s="46"/>
      <c r="N230" s="46"/>
      <c r="O230" s="46"/>
      <c r="P230" s="46"/>
      <c r="Q230" s="46"/>
      <c r="R230" s="46"/>
      <c r="S230" s="53"/>
      <c r="T230" s="53"/>
      <c r="U230" s="53"/>
      <c r="V230" s="60"/>
    </row>
    <row r="231" spans="3:22" x14ac:dyDescent="0.2">
      <c r="C231" s="71"/>
      <c r="G231" s="46"/>
      <c r="H231" s="46"/>
      <c r="I231" s="46"/>
      <c r="J231" s="46"/>
      <c r="K231" s="46"/>
      <c r="L231" s="46"/>
      <c r="N231" s="46"/>
      <c r="O231" s="46"/>
      <c r="P231" s="46"/>
      <c r="Q231" s="46"/>
      <c r="R231" s="46"/>
      <c r="S231" s="53"/>
      <c r="T231" s="53"/>
      <c r="U231" s="53"/>
      <c r="V231" s="60"/>
    </row>
    <row r="232" spans="3:22" x14ac:dyDescent="0.2">
      <c r="C232" s="71"/>
      <c r="G232" s="46"/>
      <c r="H232" s="46"/>
      <c r="I232" s="46"/>
      <c r="J232" s="46"/>
      <c r="K232" s="46"/>
      <c r="L232" s="46"/>
      <c r="N232" s="46"/>
      <c r="O232" s="46"/>
      <c r="P232" s="46"/>
      <c r="Q232" s="46"/>
      <c r="R232" s="46"/>
      <c r="S232" s="53"/>
      <c r="T232" s="53"/>
      <c r="U232" s="53"/>
      <c r="V232" s="60"/>
    </row>
    <row r="233" spans="3:22" x14ac:dyDescent="0.2">
      <c r="C233" s="71"/>
      <c r="G233" s="46"/>
      <c r="H233" s="46"/>
      <c r="I233" s="46"/>
      <c r="J233" s="46"/>
      <c r="K233" s="46"/>
      <c r="L233" s="46"/>
      <c r="N233" s="46"/>
      <c r="O233" s="46"/>
      <c r="P233" s="46"/>
      <c r="Q233" s="46"/>
      <c r="R233" s="46"/>
      <c r="S233" s="53"/>
      <c r="T233" s="53"/>
      <c r="U233" s="53"/>
      <c r="V233" s="60"/>
    </row>
    <row r="234" spans="3:22" x14ac:dyDescent="0.2">
      <c r="C234" s="71"/>
      <c r="G234" s="46"/>
      <c r="H234" s="46"/>
      <c r="I234" s="46"/>
      <c r="J234" s="46"/>
      <c r="K234" s="46"/>
      <c r="L234" s="46"/>
      <c r="N234" s="46"/>
      <c r="O234" s="46"/>
      <c r="P234" s="46"/>
      <c r="Q234" s="46"/>
      <c r="R234" s="46"/>
      <c r="S234" s="53"/>
      <c r="T234" s="53"/>
      <c r="U234" s="53"/>
      <c r="V234" s="60"/>
    </row>
    <row r="235" spans="3:22" x14ac:dyDescent="0.2">
      <c r="C235" s="71"/>
      <c r="G235" s="46"/>
      <c r="H235" s="46"/>
      <c r="I235" s="46"/>
      <c r="J235" s="46"/>
      <c r="K235" s="46"/>
      <c r="L235" s="46"/>
      <c r="N235" s="46"/>
      <c r="O235" s="46"/>
      <c r="P235" s="46"/>
      <c r="Q235" s="46"/>
      <c r="R235" s="46"/>
      <c r="S235" s="53"/>
      <c r="T235" s="53"/>
      <c r="U235" s="53"/>
      <c r="V235" s="60"/>
    </row>
    <row r="236" spans="3:22" x14ac:dyDescent="0.2">
      <c r="C236" s="71"/>
      <c r="G236" s="46"/>
      <c r="H236" s="46"/>
      <c r="I236" s="46"/>
      <c r="J236" s="46"/>
      <c r="K236" s="46"/>
      <c r="L236" s="46"/>
      <c r="N236" s="46"/>
      <c r="O236" s="46"/>
      <c r="P236" s="46"/>
      <c r="Q236" s="46"/>
      <c r="R236" s="46"/>
      <c r="S236" s="53"/>
      <c r="T236" s="53"/>
      <c r="U236" s="53"/>
      <c r="V236" s="60"/>
    </row>
    <row r="237" spans="3:22" x14ac:dyDescent="0.2">
      <c r="C237" s="71"/>
      <c r="G237" s="46"/>
      <c r="H237" s="46"/>
      <c r="I237" s="46"/>
      <c r="J237" s="46"/>
      <c r="K237" s="46"/>
      <c r="L237" s="46"/>
      <c r="N237" s="46"/>
      <c r="O237" s="46"/>
      <c r="P237" s="46"/>
      <c r="Q237" s="46"/>
      <c r="R237" s="46"/>
      <c r="S237" s="53"/>
      <c r="T237" s="53"/>
      <c r="U237" s="53"/>
      <c r="V237" s="60"/>
    </row>
    <row r="238" spans="3:22" x14ac:dyDescent="0.2">
      <c r="C238" s="71"/>
      <c r="G238" s="46"/>
      <c r="H238" s="46"/>
      <c r="I238" s="46"/>
      <c r="J238" s="46"/>
      <c r="K238" s="46"/>
      <c r="L238" s="46"/>
      <c r="N238" s="46"/>
      <c r="O238" s="46"/>
      <c r="P238" s="46"/>
      <c r="Q238" s="46"/>
      <c r="R238" s="46"/>
      <c r="S238" s="53"/>
      <c r="T238" s="53"/>
      <c r="U238" s="53"/>
      <c r="V238" s="60"/>
    </row>
    <row r="239" spans="3:22" x14ac:dyDescent="0.2">
      <c r="C239" s="71"/>
      <c r="G239" s="46"/>
      <c r="H239" s="46"/>
      <c r="I239" s="46"/>
      <c r="J239" s="46"/>
      <c r="K239" s="46"/>
      <c r="L239" s="46"/>
      <c r="N239" s="46"/>
      <c r="O239" s="46"/>
      <c r="P239" s="46"/>
      <c r="Q239" s="46"/>
      <c r="R239" s="46"/>
      <c r="S239" s="53"/>
      <c r="T239" s="53"/>
      <c r="U239" s="53"/>
      <c r="V239" s="60"/>
    </row>
    <row r="240" spans="3:22" x14ac:dyDescent="0.2">
      <c r="C240" s="71"/>
      <c r="G240" s="46"/>
      <c r="H240" s="46"/>
      <c r="I240" s="46"/>
      <c r="J240" s="46"/>
      <c r="K240" s="46"/>
      <c r="L240" s="46"/>
      <c r="N240" s="46"/>
      <c r="O240" s="46"/>
      <c r="P240" s="46"/>
      <c r="Q240" s="46"/>
      <c r="R240" s="46"/>
      <c r="S240" s="53"/>
      <c r="T240" s="53"/>
      <c r="U240" s="53"/>
      <c r="V240" s="60"/>
    </row>
    <row r="241" spans="1:37" x14ac:dyDescent="0.2">
      <c r="C241" s="71"/>
      <c r="G241" s="46"/>
      <c r="H241" s="46"/>
      <c r="I241" s="46"/>
      <c r="J241" s="46"/>
      <c r="K241" s="46"/>
      <c r="L241" s="46"/>
      <c r="N241" s="46"/>
      <c r="O241" s="46"/>
      <c r="P241" s="46"/>
      <c r="Q241" s="46"/>
      <c r="R241" s="46"/>
      <c r="S241" s="53"/>
      <c r="T241" s="53"/>
      <c r="U241" s="53"/>
      <c r="V241" s="60"/>
    </row>
    <row r="242" spans="1:37" x14ac:dyDescent="0.2">
      <c r="C242" s="71"/>
      <c r="G242" s="46"/>
      <c r="H242" s="46"/>
      <c r="I242" s="46"/>
      <c r="J242" s="46"/>
      <c r="K242" s="46"/>
      <c r="L242" s="46"/>
      <c r="N242" s="46"/>
      <c r="O242" s="46"/>
      <c r="P242" s="46"/>
      <c r="Q242" s="46"/>
      <c r="R242" s="46"/>
      <c r="S242" s="53"/>
      <c r="T242" s="53"/>
      <c r="U242" s="53"/>
      <c r="V242" s="60"/>
    </row>
    <row r="243" spans="1:37" x14ac:dyDescent="0.2">
      <c r="C243" s="71"/>
      <c r="G243" s="46"/>
      <c r="H243" s="46"/>
      <c r="I243" s="46"/>
      <c r="J243" s="46"/>
      <c r="K243" s="46"/>
      <c r="L243" s="46"/>
      <c r="N243" s="46"/>
      <c r="O243" s="46"/>
      <c r="P243" s="46"/>
      <c r="Q243" s="46"/>
      <c r="R243" s="46"/>
      <c r="S243" s="53"/>
      <c r="T243" s="53"/>
      <c r="U243" s="53"/>
      <c r="V243" s="60"/>
    </row>
    <row r="244" spans="1:37" x14ac:dyDescent="0.2">
      <c r="C244" s="71"/>
      <c r="G244" s="46"/>
      <c r="H244" s="46"/>
      <c r="I244" s="46"/>
      <c r="J244" s="46"/>
      <c r="K244" s="46"/>
      <c r="L244" s="46"/>
      <c r="N244" s="46"/>
      <c r="O244" s="46"/>
      <c r="P244" s="46"/>
      <c r="Q244" s="46"/>
      <c r="R244" s="46"/>
      <c r="S244" s="53"/>
      <c r="T244" s="53"/>
      <c r="U244" s="53"/>
      <c r="V244" s="60"/>
    </row>
    <row r="245" spans="1:37" x14ac:dyDescent="0.2">
      <c r="C245" s="71"/>
      <c r="G245" s="46"/>
      <c r="H245" s="46"/>
      <c r="I245" s="46"/>
      <c r="J245" s="46"/>
      <c r="K245" s="46"/>
      <c r="L245" s="46"/>
      <c r="N245" s="46"/>
      <c r="O245" s="46"/>
      <c r="P245" s="46"/>
      <c r="Q245" s="46"/>
      <c r="R245" s="46"/>
      <c r="S245" s="53"/>
      <c r="T245" s="53"/>
      <c r="U245" s="53"/>
      <c r="V245" s="60"/>
    </row>
    <row r="246" spans="1:37" x14ac:dyDescent="0.2">
      <c r="C246" s="71"/>
      <c r="G246" s="46"/>
      <c r="H246" s="46"/>
      <c r="I246" s="46"/>
      <c r="J246" s="46"/>
      <c r="K246" s="46"/>
      <c r="L246" s="46"/>
      <c r="N246" s="46"/>
      <c r="O246" s="46"/>
      <c r="P246" s="46"/>
      <c r="Q246" s="46"/>
      <c r="R246" s="46"/>
      <c r="S246" s="53"/>
      <c r="T246" s="53"/>
      <c r="U246" s="53"/>
      <c r="V246" s="60"/>
    </row>
    <row r="247" spans="1:37" x14ac:dyDescent="0.2">
      <c r="C247" s="71"/>
      <c r="G247" s="46"/>
      <c r="H247" s="46"/>
      <c r="I247" s="46"/>
      <c r="J247" s="46"/>
      <c r="K247" s="46"/>
      <c r="L247" s="46"/>
      <c r="N247" s="46"/>
      <c r="O247" s="46"/>
      <c r="P247" s="46"/>
      <c r="Q247" s="46"/>
      <c r="R247" s="46"/>
      <c r="S247" s="53"/>
      <c r="T247" s="53"/>
      <c r="U247" s="53"/>
      <c r="V247" s="60"/>
    </row>
    <row r="248" spans="1:37" x14ac:dyDescent="0.2">
      <c r="C248" s="71"/>
      <c r="G248" s="46"/>
      <c r="H248" s="46"/>
      <c r="I248" s="46"/>
      <c r="J248" s="46"/>
      <c r="K248" s="46"/>
      <c r="L248" s="46"/>
      <c r="N248" s="46"/>
      <c r="O248" s="46"/>
      <c r="P248" s="46"/>
      <c r="Q248" s="46"/>
      <c r="R248" s="46"/>
      <c r="S248" s="53"/>
      <c r="T248" s="53"/>
      <c r="U248" s="53"/>
      <c r="V248" s="60"/>
    </row>
    <row r="249" spans="1:37" x14ac:dyDescent="0.2">
      <c r="C249" s="71"/>
      <c r="G249" s="46"/>
      <c r="H249" s="46"/>
      <c r="I249" s="46"/>
      <c r="J249" s="46"/>
      <c r="K249" s="46"/>
      <c r="L249" s="46"/>
      <c r="N249" s="46"/>
      <c r="O249" s="46"/>
      <c r="P249" s="46"/>
      <c r="Q249" s="46"/>
      <c r="R249" s="46"/>
      <c r="S249" s="53"/>
      <c r="T249" s="53"/>
      <c r="U249" s="53"/>
      <c r="V249" s="60"/>
    </row>
    <row r="250" spans="1:37" x14ac:dyDescent="0.2">
      <c r="C250" s="71"/>
      <c r="G250" s="46"/>
      <c r="H250" s="46"/>
      <c r="I250" s="46"/>
      <c r="J250" s="46"/>
      <c r="K250" s="46"/>
      <c r="L250" s="46"/>
      <c r="N250" s="46"/>
      <c r="O250" s="46"/>
      <c r="P250" s="46"/>
      <c r="Q250" s="46"/>
      <c r="R250" s="46"/>
      <c r="S250" s="53"/>
      <c r="T250" s="53"/>
      <c r="U250" s="53"/>
      <c r="V250" s="60"/>
    </row>
    <row r="251" spans="1:37" x14ac:dyDescent="0.2">
      <c r="C251" s="71"/>
      <c r="G251" s="46"/>
      <c r="H251" s="46"/>
      <c r="I251" s="46"/>
      <c r="J251" s="46"/>
      <c r="K251" s="46"/>
      <c r="L251" s="46"/>
      <c r="N251" s="46"/>
      <c r="O251" s="46"/>
      <c r="P251" s="46"/>
      <c r="Q251" s="46"/>
      <c r="R251" s="46"/>
      <c r="S251" s="53"/>
      <c r="T251" s="53"/>
      <c r="U251" s="53"/>
      <c r="V251" s="60"/>
    </row>
    <row r="252" spans="1:37" x14ac:dyDescent="0.2">
      <c r="C252" s="71"/>
      <c r="G252" s="46"/>
      <c r="H252" s="46"/>
      <c r="I252" s="46"/>
      <c r="J252" s="46"/>
      <c r="K252" s="46"/>
      <c r="L252" s="46"/>
      <c r="N252" s="46"/>
      <c r="O252" s="46"/>
      <c r="P252" s="46"/>
      <c r="Q252" s="46"/>
      <c r="R252" s="46"/>
      <c r="S252" s="53"/>
      <c r="T252" s="53"/>
      <c r="U252" s="53"/>
      <c r="V252" s="60"/>
    </row>
    <row r="253" spans="1:37" x14ac:dyDescent="0.2">
      <c r="C253" s="71"/>
      <c r="G253" s="46"/>
      <c r="H253" s="46"/>
      <c r="I253" s="46"/>
      <c r="J253" s="46"/>
      <c r="K253" s="46"/>
      <c r="L253" s="46"/>
      <c r="N253" s="46"/>
      <c r="O253" s="46"/>
      <c r="P253" s="46"/>
      <c r="Q253" s="46"/>
      <c r="R253" s="46"/>
      <c r="S253" s="53"/>
      <c r="T253" s="53"/>
      <c r="U253" s="53"/>
      <c r="V253" s="60"/>
    </row>
    <row r="254" spans="1:37" s="46" customFormat="1" x14ac:dyDescent="0.2">
      <c r="A254" s="15"/>
      <c r="B254" s="15"/>
      <c r="C254" s="72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8"/>
      <c r="T254" s="48"/>
      <c r="U254" s="48"/>
      <c r="V254" s="60"/>
      <c r="X254" s="10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</row>
    <row r="255" spans="1:37" s="46" customFormat="1" x14ac:dyDescent="0.2">
      <c r="A255" s="15"/>
      <c r="B255" s="15"/>
      <c r="C255" s="72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8"/>
      <c r="T255" s="48"/>
      <c r="U255" s="48"/>
      <c r="V255" s="60"/>
      <c r="X255" s="10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</row>
    <row r="256" spans="1:37" s="46" customFormat="1" x14ac:dyDescent="0.2">
      <c r="A256" s="15"/>
      <c r="B256" s="15"/>
      <c r="C256" s="72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8"/>
      <c r="T256" s="48"/>
      <c r="U256" s="48"/>
      <c r="V256" s="60"/>
      <c r="X256" s="10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</row>
    <row r="257" spans="1:37" s="46" customFormat="1" x14ac:dyDescent="0.2">
      <c r="A257" s="15"/>
      <c r="B257" s="15"/>
      <c r="C257" s="72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8"/>
      <c r="T257" s="48"/>
      <c r="U257" s="48"/>
      <c r="V257" s="60"/>
      <c r="X257" s="10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</row>
    <row r="258" spans="1:37" s="46" customFormat="1" x14ac:dyDescent="0.2">
      <c r="A258" s="15"/>
      <c r="B258" s="15"/>
      <c r="C258" s="72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8"/>
      <c r="T258" s="48"/>
      <c r="U258" s="48"/>
      <c r="V258" s="60"/>
      <c r="X258" s="10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</row>
    <row r="259" spans="1:37" s="46" customFormat="1" x14ac:dyDescent="0.2">
      <c r="A259" s="15"/>
      <c r="B259" s="15"/>
      <c r="C259" s="72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8"/>
      <c r="T259" s="48"/>
      <c r="U259" s="48"/>
      <c r="V259" s="60"/>
      <c r="X259" s="10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</row>
    <row r="260" spans="1:37" s="46" customFormat="1" x14ac:dyDescent="0.2">
      <c r="A260" s="15"/>
      <c r="B260" s="15"/>
      <c r="C260" s="72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8"/>
      <c r="T260" s="48"/>
      <c r="U260" s="48"/>
      <c r="V260" s="60"/>
      <c r="X260" s="10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</row>
    <row r="261" spans="1:37" s="46" customFormat="1" x14ac:dyDescent="0.2">
      <c r="A261" s="15"/>
      <c r="B261" s="15"/>
      <c r="C261" s="72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8"/>
      <c r="T261" s="48"/>
      <c r="U261" s="48"/>
      <c r="V261" s="60"/>
      <c r="X261" s="10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</row>
    <row r="262" spans="1:37" s="46" customFormat="1" x14ac:dyDescent="0.2">
      <c r="A262" s="15"/>
      <c r="B262" s="15"/>
      <c r="C262" s="72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8"/>
      <c r="T262" s="48"/>
      <c r="U262" s="48"/>
      <c r="V262" s="60"/>
      <c r="X262" s="10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</row>
    <row r="263" spans="1:37" s="46" customFormat="1" x14ac:dyDescent="0.2">
      <c r="A263" s="15"/>
      <c r="B263" s="15"/>
      <c r="C263" s="72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8"/>
      <c r="T263" s="48"/>
      <c r="U263" s="48"/>
      <c r="V263" s="60"/>
      <c r="X263" s="10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</row>
    <row r="264" spans="1:37" s="46" customFormat="1" x14ac:dyDescent="0.2">
      <c r="A264" s="15"/>
      <c r="B264" s="15"/>
      <c r="C264" s="72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8"/>
      <c r="T264" s="48"/>
      <c r="U264" s="48"/>
      <c r="V264" s="60"/>
      <c r="X264" s="10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</row>
    <row r="265" spans="1:37" s="46" customFormat="1" x14ac:dyDescent="0.2">
      <c r="A265" s="15"/>
      <c r="B265" s="15"/>
      <c r="C265" s="72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8"/>
      <c r="T265" s="48"/>
      <c r="U265" s="48"/>
      <c r="V265" s="60"/>
      <c r="X265" s="10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</row>
    <row r="266" spans="1:37" s="46" customFormat="1" x14ac:dyDescent="0.2">
      <c r="A266" s="15"/>
      <c r="B266" s="15"/>
      <c r="C266" s="72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8"/>
      <c r="T266" s="48"/>
      <c r="U266" s="48"/>
      <c r="V266" s="60"/>
      <c r="X266" s="10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</row>
    <row r="267" spans="1:37" s="46" customFormat="1" x14ac:dyDescent="0.2">
      <c r="A267" s="15"/>
      <c r="B267" s="15"/>
      <c r="C267" s="72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8"/>
      <c r="T267" s="48"/>
      <c r="U267" s="48"/>
      <c r="V267" s="60"/>
      <c r="X267" s="10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</row>
    <row r="268" spans="1:37" s="46" customFormat="1" x14ac:dyDescent="0.2">
      <c r="A268" s="15"/>
      <c r="B268" s="15"/>
      <c r="C268" s="72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8"/>
      <c r="T268" s="48"/>
      <c r="U268" s="48"/>
      <c r="V268" s="60"/>
      <c r="X268" s="10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</row>
    <row r="269" spans="1:37" s="46" customFormat="1" x14ac:dyDescent="0.2">
      <c r="A269" s="15"/>
      <c r="B269" s="15"/>
      <c r="C269" s="72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8"/>
      <c r="T269" s="48"/>
      <c r="U269" s="48"/>
      <c r="V269" s="60"/>
      <c r="X269" s="10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</row>
    <row r="270" spans="1:37" s="46" customFormat="1" x14ac:dyDescent="0.2">
      <c r="A270" s="15"/>
      <c r="B270" s="15"/>
      <c r="C270" s="72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8"/>
      <c r="T270" s="48"/>
      <c r="U270" s="48"/>
      <c r="V270" s="60"/>
      <c r="X270" s="10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</row>
    <row r="271" spans="1:37" s="46" customFormat="1" x14ac:dyDescent="0.2">
      <c r="A271" s="15"/>
      <c r="B271" s="15"/>
      <c r="C271" s="72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8"/>
      <c r="T271" s="48"/>
      <c r="U271" s="48"/>
      <c r="V271" s="60"/>
      <c r="X271" s="10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</row>
    <row r="272" spans="1:37" s="46" customFormat="1" x14ac:dyDescent="0.2">
      <c r="A272" s="15"/>
      <c r="B272" s="15"/>
      <c r="C272" s="72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8"/>
      <c r="T272" s="48"/>
      <c r="U272" s="48"/>
      <c r="V272" s="60"/>
      <c r="X272" s="10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</row>
    <row r="273" spans="1:37" s="46" customFormat="1" x14ac:dyDescent="0.2">
      <c r="A273" s="15"/>
      <c r="B273" s="15"/>
      <c r="C273" s="72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8"/>
      <c r="T273" s="48"/>
      <c r="U273" s="48"/>
      <c r="V273" s="60"/>
      <c r="X273" s="10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</row>
    <row r="274" spans="1:37" s="46" customFormat="1" x14ac:dyDescent="0.2">
      <c r="A274" s="15"/>
      <c r="B274" s="15"/>
      <c r="C274" s="72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8"/>
      <c r="T274" s="48"/>
      <c r="U274" s="48"/>
      <c r="V274" s="60"/>
      <c r="X274" s="10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</row>
    <row r="275" spans="1:37" s="46" customFormat="1" x14ac:dyDescent="0.2">
      <c r="A275" s="15"/>
      <c r="B275" s="15"/>
      <c r="C275" s="72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8"/>
      <c r="T275" s="48"/>
      <c r="U275" s="48"/>
      <c r="V275" s="60"/>
      <c r="X275" s="10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</row>
    <row r="276" spans="1:37" s="46" customFormat="1" x14ac:dyDescent="0.2">
      <c r="A276" s="15"/>
      <c r="B276" s="15"/>
      <c r="C276" s="72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8"/>
      <c r="T276" s="48"/>
      <c r="U276" s="48"/>
      <c r="V276" s="60"/>
      <c r="X276" s="10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</row>
    <row r="277" spans="1:37" s="46" customFormat="1" x14ac:dyDescent="0.2">
      <c r="A277" s="15"/>
      <c r="B277" s="15"/>
      <c r="C277" s="72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8"/>
      <c r="T277" s="48"/>
      <c r="U277" s="48"/>
      <c r="V277" s="60"/>
      <c r="X277" s="10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</row>
    <row r="278" spans="1:37" s="46" customFormat="1" x14ac:dyDescent="0.2">
      <c r="A278" s="15"/>
      <c r="B278" s="15"/>
      <c r="C278" s="72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8"/>
      <c r="T278" s="48"/>
      <c r="U278" s="48"/>
      <c r="V278" s="60"/>
      <c r="X278" s="10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</row>
    <row r="279" spans="1:37" s="46" customFormat="1" x14ac:dyDescent="0.2">
      <c r="A279" s="15"/>
      <c r="B279" s="15"/>
      <c r="C279" s="72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8"/>
      <c r="T279" s="48"/>
      <c r="U279" s="48"/>
      <c r="V279" s="60"/>
      <c r="X279" s="10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</row>
    <row r="280" spans="1:37" s="46" customFormat="1" x14ac:dyDescent="0.2">
      <c r="A280" s="15"/>
      <c r="B280" s="15"/>
      <c r="C280" s="72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8"/>
      <c r="T280" s="48"/>
      <c r="U280" s="48"/>
      <c r="V280" s="60"/>
      <c r="X280" s="10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</row>
    <row r="281" spans="1:37" s="46" customFormat="1" x14ac:dyDescent="0.2">
      <c r="A281" s="15"/>
      <c r="B281" s="15"/>
      <c r="C281" s="72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8"/>
      <c r="T281" s="48"/>
      <c r="U281" s="48"/>
      <c r="V281" s="60"/>
      <c r="X281" s="10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</row>
    <row r="282" spans="1:37" s="46" customFormat="1" x14ac:dyDescent="0.2">
      <c r="A282" s="15"/>
      <c r="B282" s="15"/>
      <c r="C282" s="72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8"/>
      <c r="T282" s="48"/>
      <c r="U282" s="48"/>
      <c r="V282" s="60"/>
      <c r="X282" s="10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</row>
    <row r="283" spans="1:37" s="46" customFormat="1" x14ac:dyDescent="0.2">
      <c r="A283" s="15"/>
      <c r="B283" s="15"/>
      <c r="C283" s="72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8"/>
      <c r="T283" s="48"/>
      <c r="U283" s="48"/>
      <c r="V283" s="60"/>
      <c r="X283" s="10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</row>
    <row r="284" spans="1:37" s="46" customFormat="1" x14ac:dyDescent="0.2">
      <c r="A284" s="15"/>
      <c r="B284" s="15"/>
      <c r="C284" s="72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8"/>
      <c r="T284" s="48"/>
      <c r="U284" s="48"/>
      <c r="V284" s="60"/>
      <c r="X284" s="10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</row>
    <row r="285" spans="1:37" s="46" customFormat="1" x14ac:dyDescent="0.2">
      <c r="A285" s="15"/>
      <c r="B285" s="15"/>
      <c r="C285" s="72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8"/>
      <c r="T285" s="48"/>
      <c r="U285" s="48"/>
      <c r="V285" s="60"/>
      <c r="X285" s="10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</row>
    <row r="286" spans="1:37" s="46" customFormat="1" x14ac:dyDescent="0.2">
      <c r="A286" s="15"/>
      <c r="B286" s="15"/>
      <c r="C286" s="72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8"/>
      <c r="T286" s="48"/>
      <c r="U286" s="48"/>
      <c r="V286" s="60"/>
      <c r="X286" s="10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</row>
    <row r="287" spans="1:37" s="46" customFormat="1" x14ac:dyDescent="0.2">
      <c r="A287" s="15"/>
      <c r="B287" s="15"/>
      <c r="C287" s="72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8"/>
      <c r="T287" s="48"/>
      <c r="U287" s="48"/>
      <c r="V287" s="60"/>
      <c r="X287" s="10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</row>
    <row r="288" spans="1:37" s="46" customFormat="1" x14ac:dyDescent="0.2">
      <c r="A288" s="15"/>
      <c r="B288" s="15"/>
      <c r="C288" s="72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8"/>
      <c r="T288" s="48"/>
      <c r="U288" s="48"/>
      <c r="V288" s="60"/>
      <c r="X288" s="10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</row>
    <row r="289" spans="1:37" s="46" customFormat="1" x14ac:dyDescent="0.2">
      <c r="A289" s="15"/>
      <c r="B289" s="15"/>
      <c r="C289" s="72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8"/>
      <c r="T289" s="48"/>
      <c r="U289" s="48"/>
      <c r="V289" s="60"/>
      <c r="X289" s="10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</row>
    <row r="290" spans="1:37" s="46" customFormat="1" x14ac:dyDescent="0.2">
      <c r="A290" s="15"/>
      <c r="B290" s="15"/>
      <c r="C290" s="72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8"/>
      <c r="T290" s="48"/>
      <c r="U290" s="48"/>
      <c r="V290" s="60"/>
      <c r="X290" s="10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</row>
    <row r="291" spans="1:37" s="46" customFormat="1" x14ac:dyDescent="0.2">
      <c r="A291" s="15"/>
      <c r="B291" s="15"/>
      <c r="C291" s="72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8"/>
      <c r="T291" s="48"/>
      <c r="U291" s="48"/>
      <c r="V291" s="60"/>
      <c r="X291" s="10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</row>
    <row r="292" spans="1:37" s="46" customFormat="1" x14ac:dyDescent="0.2">
      <c r="A292" s="15"/>
      <c r="B292" s="15"/>
      <c r="C292" s="72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8"/>
      <c r="T292" s="48"/>
      <c r="U292" s="48"/>
      <c r="V292" s="60"/>
      <c r="X292" s="10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</row>
    <row r="293" spans="1:37" s="46" customFormat="1" x14ac:dyDescent="0.2">
      <c r="A293" s="15"/>
      <c r="B293" s="15"/>
      <c r="C293" s="72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8"/>
      <c r="T293" s="48"/>
      <c r="U293" s="48"/>
      <c r="V293" s="60"/>
      <c r="X293" s="10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</row>
    <row r="294" spans="1:37" s="46" customFormat="1" x14ac:dyDescent="0.2">
      <c r="A294" s="15"/>
      <c r="B294" s="15"/>
      <c r="C294" s="72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8"/>
      <c r="T294" s="48"/>
      <c r="U294" s="48"/>
      <c r="V294" s="60"/>
      <c r="X294" s="10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</row>
    <row r="295" spans="1:37" s="46" customFormat="1" x14ac:dyDescent="0.2">
      <c r="A295" s="15"/>
      <c r="B295" s="15"/>
      <c r="C295" s="72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8"/>
      <c r="T295" s="48"/>
      <c r="U295" s="48"/>
      <c r="V295" s="60"/>
      <c r="X295" s="10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</row>
    <row r="296" spans="1:37" s="46" customFormat="1" x14ac:dyDescent="0.2">
      <c r="A296" s="15"/>
      <c r="B296" s="15"/>
      <c r="C296" s="72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8"/>
      <c r="T296" s="48"/>
      <c r="U296" s="48"/>
      <c r="V296" s="60"/>
      <c r="X296" s="10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</row>
    <row r="297" spans="1:37" s="46" customFormat="1" x14ac:dyDescent="0.2">
      <c r="A297" s="15"/>
      <c r="B297" s="15"/>
      <c r="C297" s="72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8"/>
      <c r="T297" s="48"/>
      <c r="U297" s="48"/>
      <c r="V297" s="60"/>
      <c r="X297" s="10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</row>
    <row r="298" spans="1:37" s="46" customFormat="1" x14ac:dyDescent="0.2">
      <c r="A298" s="15"/>
      <c r="B298" s="15"/>
      <c r="C298" s="72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8"/>
      <c r="T298" s="48"/>
      <c r="U298" s="48"/>
      <c r="V298" s="60"/>
      <c r="X298" s="10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</row>
    <row r="299" spans="1:37" s="46" customFormat="1" x14ac:dyDescent="0.2">
      <c r="A299" s="15"/>
      <c r="B299" s="15"/>
      <c r="C299" s="72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8"/>
      <c r="T299" s="48"/>
      <c r="U299" s="48"/>
      <c r="V299" s="60"/>
      <c r="X299" s="10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</row>
    <row r="300" spans="1:37" s="46" customFormat="1" x14ac:dyDescent="0.2">
      <c r="A300" s="15"/>
      <c r="B300" s="15"/>
      <c r="C300" s="72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8"/>
      <c r="T300" s="48"/>
      <c r="U300" s="48"/>
      <c r="V300" s="60"/>
      <c r="X300" s="10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</row>
    <row r="301" spans="1:37" s="46" customFormat="1" x14ac:dyDescent="0.2">
      <c r="A301" s="15"/>
      <c r="B301" s="15"/>
      <c r="C301" s="72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8"/>
      <c r="T301" s="48"/>
      <c r="U301" s="48"/>
      <c r="V301" s="60"/>
      <c r="X301" s="10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</row>
    <row r="302" spans="1:37" s="46" customFormat="1" x14ac:dyDescent="0.2">
      <c r="A302" s="15"/>
      <c r="B302" s="15"/>
      <c r="C302" s="72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8"/>
      <c r="T302" s="48"/>
      <c r="U302" s="48"/>
      <c r="V302" s="60"/>
      <c r="X302" s="10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</row>
    <row r="303" spans="1:37" s="46" customFormat="1" x14ac:dyDescent="0.2">
      <c r="A303" s="15"/>
      <c r="B303" s="15"/>
      <c r="C303" s="72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8"/>
      <c r="T303" s="48"/>
      <c r="U303" s="48"/>
      <c r="V303" s="60"/>
      <c r="X303" s="10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</row>
    <row r="304" spans="1:37" s="46" customFormat="1" x14ac:dyDescent="0.2">
      <c r="A304" s="15"/>
      <c r="B304" s="15"/>
      <c r="C304" s="72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8"/>
      <c r="T304" s="48"/>
      <c r="U304" s="48"/>
      <c r="V304" s="60"/>
      <c r="X304" s="10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</row>
    <row r="305" spans="1:37" s="46" customFormat="1" x14ac:dyDescent="0.2">
      <c r="A305" s="15"/>
      <c r="B305" s="15"/>
      <c r="C305" s="72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8"/>
      <c r="T305" s="48"/>
      <c r="U305" s="48"/>
      <c r="V305" s="60"/>
      <c r="X305" s="10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</row>
    <row r="306" spans="1:37" s="46" customFormat="1" x14ac:dyDescent="0.2">
      <c r="A306" s="15"/>
      <c r="B306" s="15"/>
      <c r="C306" s="72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8"/>
      <c r="T306" s="48"/>
      <c r="U306" s="48"/>
      <c r="V306" s="60"/>
      <c r="X306" s="10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</row>
    <row r="307" spans="1:37" s="46" customFormat="1" x14ac:dyDescent="0.2">
      <c r="A307" s="15"/>
      <c r="B307" s="15"/>
      <c r="C307" s="72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8"/>
      <c r="T307" s="48"/>
      <c r="U307" s="48"/>
      <c r="V307" s="60"/>
      <c r="X307" s="10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</row>
    <row r="308" spans="1:37" s="46" customFormat="1" x14ac:dyDescent="0.2">
      <c r="A308" s="15"/>
      <c r="B308" s="15"/>
      <c r="C308" s="72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8"/>
      <c r="T308" s="48"/>
      <c r="U308" s="48"/>
      <c r="V308" s="60"/>
      <c r="X308" s="10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</row>
    <row r="309" spans="1:37" s="46" customFormat="1" x14ac:dyDescent="0.2">
      <c r="A309" s="15"/>
      <c r="B309" s="15"/>
      <c r="C309" s="72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8"/>
      <c r="T309" s="48"/>
      <c r="U309" s="48"/>
      <c r="V309" s="60"/>
      <c r="X309" s="10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</row>
    <row r="310" spans="1:37" s="46" customFormat="1" x14ac:dyDescent="0.2">
      <c r="A310" s="15"/>
      <c r="B310" s="15"/>
      <c r="C310" s="72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8"/>
      <c r="T310" s="48"/>
      <c r="U310" s="48"/>
      <c r="V310" s="60"/>
      <c r="X310" s="10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</row>
    <row r="311" spans="1:37" s="46" customFormat="1" x14ac:dyDescent="0.2">
      <c r="A311" s="15"/>
      <c r="B311" s="15"/>
      <c r="C311" s="72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8"/>
      <c r="T311" s="48"/>
      <c r="U311" s="48"/>
      <c r="V311" s="60"/>
      <c r="X311" s="10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</row>
    <row r="312" spans="1:37" s="46" customFormat="1" x14ac:dyDescent="0.2">
      <c r="A312" s="15"/>
      <c r="B312" s="15"/>
      <c r="C312" s="72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8"/>
      <c r="T312" s="48"/>
      <c r="U312" s="48"/>
      <c r="V312" s="60"/>
      <c r="X312" s="10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</row>
    <row r="313" spans="1:37" s="46" customFormat="1" x14ac:dyDescent="0.2">
      <c r="A313" s="15"/>
      <c r="B313" s="15"/>
      <c r="C313" s="72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8"/>
      <c r="T313" s="48"/>
      <c r="U313" s="48"/>
      <c r="V313" s="60"/>
      <c r="X313" s="10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</row>
    <row r="314" spans="1:37" s="46" customFormat="1" x14ac:dyDescent="0.2">
      <c r="A314" s="15"/>
      <c r="B314" s="15"/>
      <c r="C314" s="72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8"/>
      <c r="T314" s="48"/>
      <c r="U314" s="48"/>
      <c r="V314" s="60"/>
      <c r="X314" s="10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</row>
    <row r="315" spans="1:37" s="46" customFormat="1" x14ac:dyDescent="0.2">
      <c r="A315" s="15"/>
      <c r="B315" s="15"/>
      <c r="C315" s="72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8"/>
      <c r="T315" s="48"/>
      <c r="U315" s="48"/>
      <c r="V315" s="60"/>
      <c r="X315" s="10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</row>
    <row r="316" spans="1:37" s="46" customFormat="1" x14ac:dyDescent="0.2">
      <c r="A316" s="15"/>
      <c r="B316" s="15"/>
      <c r="C316" s="72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8"/>
      <c r="T316" s="48"/>
      <c r="U316" s="48"/>
      <c r="V316" s="60"/>
      <c r="X316" s="10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</row>
    <row r="317" spans="1:37" s="46" customFormat="1" x14ac:dyDescent="0.2">
      <c r="A317" s="15"/>
      <c r="B317" s="15"/>
      <c r="C317" s="72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8"/>
      <c r="T317" s="48"/>
      <c r="U317" s="48"/>
      <c r="V317" s="60"/>
      <c r="X317" s="10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</row>
    <row r="318" spans="1:37" s="46" customFormat="1" x14ac:dyDescent="0.2">
      <c r="A318" s="15"/>
      <c r="B318" s="15"/>
      <c r="C318" s="72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8"/>
      <c r="T318" s="48"/>
      <c r="U318" s="48"/>
      <c r="V318" s="60"/>
      <c r="X318" s="10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</row>
    <row r="319" spans="1:37" s="46" customFormat="1" x14ac:dyDescent="0.2">
      <c r="A319" s="15"/>
      <c r="B319" s="15"/>
      <c r="C319" s="72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8"/>
      <c r="T319" s="48"/>
      <c r="U319" s="48"/>
      <c r="V319" s="60"/>
      <c r="X319" s="10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</row>
    <row r="320" spans="1:37" s="46" customFormat="1" x14ac:dyDescent="0.2">
      <c r="A320" s="15"/>
      <c r="B320" s="15"/>
      <c r="C320" s="72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8"/>
      <c r="T320" s="48"/>
      <c r="U320" s="48"/>
      <c r="V320" s="60"/>
      <c r="X320" s="10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</row>
    <row r="321" spans="1:37" s="46" customFormat="1" x14ac:dyDescent="0.2">
      <c r="A321" s="15"/>
      <c r="B321" s="15"/>
      <c r="C321" s="72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8"/>
      <c r="T321" s="48"/>
      <c r="U321" s="48"/>
      <c r="V321" s="60"/>
      <c r="X321" s="10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</row>
    <row r="322" spans="1:37" s="46" customFormat="1" x14ac:dyDescent="0.2">
      <c r="A322" s="15"/>
      <c r="B322" s="15"/>
      <c r="C322" s="72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8"/>
      <c r="T322" s="48"/>
      <c r="U322" s="48"/>
      <c r="V322" s="60"/>
      <c r="X322" s="10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</row>
    <row r="323" spans="1:37" s="46" customFormat="1" x14ac:dyDescent="0.2">
      <c r="A323" s="15"/>
      <c r="B323" s="15"/>
      <c r="C323" s="72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8"/>
      <c r="T323" s="48"/>
      <c r="U323" s="48"/>
      <c r="V323" s="60"/>
      <c r="X323" s="10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</row>
    <row r="324" spans="1:37" s="46" customFormat="1" x14ac:dyDescent="0.2">
      <c r="A324" s="15"/>
      <c r="B324" s="15"/>
      <c r="C324" s="72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8"/>
      <c r="T324" s="48"/>
      <c r="U324" s="48"/>
      <c r="V324" s="60"/>
      <c r="X324" s="10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</row>
    <row r="325" spans="1:37" s="46" customFormat="1" x14ac:dyDescent="0.2">
      <c r="A325" s="15"/>
      <c r="B325" s="15"/>
      <c r="C325" s="72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8"/>
      <c r="T325" s="48"/>
      <c r="U325" s="48"/>
      <c r="V325" s="60"/>
      <c r="X325" s="10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</row>
    <row r="326" spans="1:37" s="46" customFormat="1" x14ac:dyDescent="0.2">
      <c r="A326" s="15"/>
      <c r="B326" s="15"/>
      <c r="C326" s="72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8"/>
      <c r="T326" s="48"/>
      <c r="U326" s="48"/>
      <c r="V326" s="60"/>
      <c r="X326" s="10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</row>
    <row r="327" spans="1:37" s="46" customFormat="1" x14ac:dyDescent="0.2">
      <c r="A327" s="15"/>
      <c r="B327" s="15"/>
      <c r="C327" s="72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8"/>
      <c r="T327" s="48"/>
      <c r="U327" s="48"/>
      <c r="V327" s="60"/>
      <c r="X327" s="10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</row>
    <row r="328" spans="1:37" s="46" customFormat="1" x14ac:dyDescent="0.2">
      <c r="A328" s="15"/>
      <c r="B328" s="15"/>
      <c r="C328" s="72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8"/>
      <c r="T328" s="48"/>
      <c r="U328" s="48"/>
      <c r="V328" s="60"/>
      <c r="X328" s="10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</row>
    <row r="329" spans="1:37" s="46" customFormat="1" x14ac:dyDescent="0.2">
      <c r="A329" s="15"/>
      <c r="B329" s="15"/>
      <c r="C329" s="72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8"/>
      <c r="T329" s="48"/>
      <c r="U329" s="48"/>
      <c r="V329" s="60"/>
      <c r="X329" s="10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</row>
    <row r="330" spans="1:37" s="46" customFormat="1" x14ac:dyDescent="0.2">
      <c r="A330" s="15"/>
      <c r="B330" s="15"/>
      <c r="C330" s="72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8"/>
      <c r="T330" s="48"/>
      <c r="U330" s="48"/>
      <c r="V330" s="60"/>
      <c r="X330" s="10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</row>
    <row r="331" spans="1:37" s="46" customFormat="1" x14ac:dyDescent="0.2">
      <c r="A331" s="15"/>
      <c r="B331" s="15"/>
      <c r="C331" s="72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8"/>
      <c r="T331" s="48"/>
      <c r="U331" s="48"/>
      <c r="V331" s="60"/>
      <c r="X331" s="10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</row>
    <row r="332" spans="1:37" s="46" customFormat="1" x14ac:dyDescent="0.2">
      <c r="A332" s="15"/>
      <c r="B332" s="15"/>
      <c r="C332" s="72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8"/>
      <c r="T332" s="48"/>
      <c r="U332" s="48"/>
      <c r="V332" s="60"/>
      <c r="X332" s="10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</row>
    <row r="333" spans="1:37" s="46" customFormat="1" x14ac:dyDescent="0.2">
      <c r="A333" s="15"/>
      <c r="B333" s="15"/>
      <c r="C333" s="72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8"/>
      <c r="T333" s="48"/>
      <c r="U333" s="48"/>
      <c r="V333" s="60"/>
      <c r="X333" s="10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</row>
    <row r="334" spans="1:37" s="46" customFormat="1" x14ac:dyDescent="0.2">
      <c r="A334" s="15"/>
      <c r="B334" s="15"/>
      <c r="C334" s="72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8"/>
      <c r="T334" s="48"/>
      <c r="U334" s="48"/>
      <c r="V334" s="60"/>
      <c r="X334" s="10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</row>
    <row r="335" spans="1:37" s="46" customFormat="1" x14ac:dyDescent="0.2">
      <c r="A335" s="15"/>
      <c r="B335" s="15"/>
      <c r="C335" s="72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8"/>
      <c r="T335" s="48"/>
      <c r="U335" s="48"/>
      <c r="V335" s="60"/>
      <c r="X335" s="10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</row>
    <row r="336" spans="1:37" s="46" customFormat="1" x14ac:dyDescent="0.2">
      <c r="A336" s="15"/>
      <c r="B336" s="15"/>
      <c r="C336" s="72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8"/>
      <c r="T336" s="48"/>
      <c r="U336" s="48"/>
      <c r="V336" s="60"/>
      <c r="X336" s="10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</row>
    <row r="337" spans="1:37" s="46" customFormat="1" x14ac:dyDescent="0.2">
      <c r="A337" s="15"/>
      <c r="B337" s="15"/>
      <c r="C337" s="72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8"/>
      <c r="T337" s="48"/>
      <c r="U337" s="48"/>
      <c r="V337" s="60"/>
      <c r="X337" s="10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</row>
    <row r="338" spans="1:37" s="46" customFormat="1" x14ac:dyDescent="0.2">
      <c r="A338" s="15"/>
      <c r="B338" s="15"/>
      <c r="C338" s="72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8"/>
      <c r="T338" s="48"/>
      <c r="U338" s="48"/>
      <c r="V338" s="60"/>
      <c r="X338" s="10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</row>
    <row r="339" spans="1:37" s="46" customFormat="1" x14ac:dyDescent="0.2">
      <c r="A339" s="15"/>
      <c r="B339" s="15"/>
      <c r="C339" s="72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8"/>
      <c r="T339" s="48"/>
      <c r="U339" s="48"/>
      <c r="V339" s="60"/>
      <c r="X339" s="10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K339" s="49"/>
    </row>
    <row r="340" spans="1:37" s="46" customFormat="1" x14ac:dyDescent="0.2">
      <c r="A340" s="15"/>
      <c r="B340" s="15"/>
      <c r="C340" s="72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8"/>
      <c r="T340" s="48"/>
      <c r="U340" s="48"/>
      <c r="V340" s="60"/>
      <c r="X340" s="10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</row>
    <row r="341" spans="1:37" s="46" customFormat="1" x14ac:dyDescent="0.2">
      <c r="A341" s="15"/>
      <c r="B341" s="15"/>
      <c r="C341" s="72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8"/>
      <c r="T341" s="48"/>
      <c r="U341" s="48"/>
      <c r="V341" s="60"/>
      <c r="X341" s="10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</row>
    <row r="342" spans="1:37" s="46" customFormat="1" x14ac:dyDescent="0.2">
      <c r="A342" s="15"/>
      <c r="B342" s="15"/>
      <c r="C342" s="72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8"/>
      <c r="T342" s="48"/>
      <c r="U342" s="48"/>
      <c r="V342" s="60"/>
      <c r="X342" s="10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</row>
  </sheetData>
  <pageMargins left="0.7" right="0.7" top="0.75" bottom="0.75" header="0.3" footer="0.3"/>
  <pageSetup paperSize="17" scale="50" fitToHeight="0" orientation="landscape" r:id="rId1"/>
  <headerFooter alignWithMargins="0">
    <oddHeader>&amp;A</oddHeader>
    <oddFooter>&amp;Lcjf; &amp;D&amp;C&amp;Z&amp;F&amp;RPage &amp;P</oddFooter>
  </headerFooter>
  <rowBreaks count="2" manualBreakCount="2">
    <brk id="97" max="22" man="1"/>
    <brk id="148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FY25_Central Supported Data</vt:lpstr>
      <vt:lpstr>'FY25_Central Supported Data'!Print_Area</vt:lpstr>
      <vt:lpstr>'FY25_Central Supported Data'!Print_Titles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NDIS</dc:creator>
  <cp:lastModifiedBy>Julie A Tonneson</cp:lastModifiedBy>
  <cp:lastPrinted>2023-05-31T21:09:24Z</cp:lastPrinted>
  <dcterms:created xsi:type="dcterms:W3CDTF">2003-03-25T17:06:47Z</dcterms:created>
  <dcterms:modified xsi:type="dcterms:W3CDTF">2024-01-30T16:09:14Z</dcterms:modified>
</cp:coreProperties>
</file>