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0 How to Use" sheetId="1" r:id="rId5"/>
    <sheet state="visible" name="01 Inputs" sheetId="2" r:id="rId6"/>
    <sheet state="visible" name="02 Model" sheetId="3" r:id="rId7"/>
    <sheet state="visible" name="03 Outputs" sheetId="4" r:id="rId8"/>
    <sheet state="visible" name="04 Sensitivities" sheetId="5" r:id="rId9"/>
    <sheet state="visible" name="98 Checks" sheetId="6" r:id="rId10"/>
    <sheet state="visible" name="99 Sources" sheetId="7" r:id="rId11"/>
  </sheets>
  <definedNames/>
  <calcPr/>
</workbook>
</file>

<file path=xl/sharedStrings.xml><?xml version="1.0" encoding="utf-8"?>
<sst xmlns="http://schemas.openxmlformats.org/spreadsheetml/2006/main" count="260" uniqueCount="249">
  <si>
    <t>S-04  INPUTS</t>
  </si>
  <si>
    <t>S-04  Monthly Investor Update Builder</t>
  </si>
  <si>
    <t>v1.0  |  updated October 2026  |  vcafterdark.com/resources/s-04</t>
  </si>
  <si>
    <t>WHAT THIS ANSWERS</t>
  </si>
  <si>
    <t>Type in yellow cells only. Example numbers and words are illustrative, not a real company.</t>
  </si>
  <si>
    <t>What goes in this month's investor update, in what order, and what will an investor see in your numbers before you point it out? The sheet drafts the update from your log, tests runway and default alive, and puts anything red at the top with your plan next to it.</t>
  </si>
  <si>
    <t>GET AN ANSWER IN 2 MIN</t>
  </si>
  <si>
    <t>STATUS</t>
  </si>
  <si>
    <t>1. File, Make a copy. Open 01 Inputs.</t>
  </si>
  <si>
    <t>2. Add this month's row to the log: revenue, cash at month end, net burn, money raised. Customers, headcount and one KPI if you track them.</t>
  </si>
  <si>
    <t>3. Type this month's words: asks first, then highlights, lowlights with the fix, next month. Short lines.</t>
  </si>
  <si>
    <t>4. Read the gray status at the top. If it says do not send, open 98 Checks and fix the row it names.</t>
  </si>
  <si>
    <t>Ready to send?</t>
  </si>
  <si>
    <t>5. Open 03 Outputs, copy the draft, paste as plain text (Ctrl+Shift+V or Cmd+Shift+V) into your email, edit, send.</t>
  </si>
  <si>
    <t>HOW TO READ IT</t>
  </si>
  <si>
    <t>Runway: cash at month end divided by the average net burn of the last three months. Averaging three months keeps one light month from overstating runway.</t>
  </si>
  <si>
    <t>Default alive: hold spending flat and keep growing at your last three months' compounded rate. Alive means revenue covers spending before the cash runs out. Growth needed is the lowest monthly rate that gets you there.</t>
  </si>
  <si>
    <t>Burn multiple: net burn divided by net new annualized revenue over the same months. On the 2020 scale in 99 Sources, under 2x is Good or better, and the post reads 3x or more as a sign product market fit is weaker than it looks.</t>
  </si>
  <si>
    <t>Cash tie out: last month's cash minus this month's burn plus anything raised should equal this month's cash. If it does not, a number in the update is wrong. Fix it before you send.</t>
  </si>
  <si>
    <t>Flags: anything red goes first in the TL;DR with your plan line next to it. Amber flags get the plan line after the numbers. Default dead is amber with 12 months or more of runway and red under that (your amber threshold).</t>
  </si>
  <si>
    <t>COLORS</t>
  </si>
  <si>
    <t>Blue text on yellow: an input. Type here.</t>
  </si>
  <si>
    <t>Black text: a formula. Leave it alone; it updates itself.</t>
  </si>
  <si>
    <t>Gray box: the answer.</t>
  </si>
  <si>
    <t>Runway</t>
  </si>
  <si>
    <t>VERSION</t>
  </si>
  <si>
    <t>v1.0, October 2026. First release. 24 month log, cash tie out, three month runway, default alive with the growth you need, burn multiple, dropped metric and no ask flags, and a plain text draft in a fixed order.</t>
  </si>
  <si>
    <t>Feedback or a bug: michaelbeer8@gmail.com (subject: VC After Dark resource feedback)</t>
  </si>
  <si>
    <t>Default alive?</t>
  </si>
  <si>
    <t>For educational purposes; not legal or financial advice.</t>
  </si>
  <si>
    <t>Personal views of Michael Beer. Not affiliated with Alumni Ventures. Not an offer to buy or sell securities.</t>
  </si>
  <si>
    <t>Monthly growth you need to be default alive</t>
  </si>
  <si>
    <t>S-04  OUTPUTS</t>
  </si>
  <si>
    <t>S-04  MODEL</t>
  </si>
  <si>
    <t>Select the draft below, copy, and paste as plain text (Ctrl+Shift+V or Cmd+Shift+V). Edit freely; the numbers are yours.</t>
  </si>
  <si>
    <t>Every number here is a formula. Month n is the latest month with revenue, cash and burn entered.</t>
  </si>
  <si>
    <t>A. THE COMPANY</t>
  </si>
  <si>
    <t>Company name</t>
  </si>
  <si>
    <t>Example Co</t>
  </si>
  <si>
    <t>Your name (sign off)</t>
  </si>
  <si>
    <t>Sam</t>
  </si>
  <si>
    <t>Revenue metric name</t>
  </si>
  <si>
    <t>MRR</t>
  </si>
  <si>
    <t>MRR, monthly revenue, GMV net revenue. Keep the definition the same every month.</t>
  </si>
  <si>
    <t>First month in the log</t>
  </si>
  <si>
    <t>A. MONTHLY LOG, CHECKED</t>
  </si>
  <si>
    <t>Type the first day of the month. The other months fill in.</t>
  </si>
  <si>
    <t>Your extra KPI (name)</t>
  </si>
  <si>
    <t>Net revenue retention</t>
  </si>
  <si>
    <t>Optional. The one number your investors ask about.</t>
  </si>
  <si>
    <t>Show the KPI as</t>
  </si>
  <si>
    <t>Percent</t>
  </si>
  <si>
    <t>#</t>
  </si>
  <si>
    <t>B. MONTHLY LOG (one row per month, from the top, no gaps)</t>
  </si>
  <si>
    <t>Month</t>
  </si>
  <si>
    <t>Revenue</t>
  </si>
  <si>
    <t>Cash</t>
  </si>
  <si>
    <t>Net burn</t>
  </si>
  <si>
    <t>Raised</t>
  </si>
  <si>
    <t>FLAGS (fix or explain anything red or amber)</t>
  </si>
  <si>
    <t>Expected cash</t>
  </si>
  <si>
    <t>Revenue ($)</t>
  </si>
  <si>
    <t>Gap</t>
  </si>
  <si>
    <t>Cash at month end ($)</t>
  </si>
  <si>
    <t>Complete</t>
  </si>
  <si>
    <t>Net burn ($)</t>
  </si>
  <si>
    <t>Cust</t>
  </si>
  <si>
    <t>Money raised ($)</t>
  </si>
  <si>
    <t>Heads</t>
  </si>
  <si>
    <t>Customers</t>
  </si>
  <si>
    <t>KPI</t>
  </si>
  <si>
    <t>Headcount</t>
  </si>
  <si>
    <t>|Gap|</t>
  </si>
  <si>
    <t>Extra KPI</t>
  </si>
  <si>
    <t>THE DRAFT</t>
  </si>
  <si>
    <t>S-04  SENSITIVITIES</t>
  </si>
  <si>
    <t>Lowest cash on the default alive path. Negative means the cash runs out before revenue covers spending.</t>
  </si>
  <si>
    <t>LOWEST CASH: MONTHLY GROWTH (rows) x CHANGE IN SPENDING (columns)</t>
  </si>
  <si>
    <t>Growth \ Spending change</t>
  </si>
  <si>
    <t>Net burn: cash out minus cash in for the month, before any money raised. Negative if you made money. Money raised: equity or debt that landed that month.</t>
  </si>
  <si>
    <t>Extra KPI as a decimal if it is a percent (1.01 = 101%). Leave Customers, Headcount or KPI blank if you do not track them; once you report one, keep reporting it.</t>
  </si>
  <si>
    <t>C. THIS MONTH IN WORDS (short lines; leave blank to skip)</t>
  </si>
  <si>
    <t>What you do, one line (for new readers)</t>
  </si>
  <si>
    <t>Example Co sells scheduling software to multi-site dental groups.</t>
  </si>
  <si>
    <t>One line on the month (goes in the TL;DR)</t>
  </si>
  <si>
    <t>Two new groups signed. Growth is below plan and we are acting on it.</t>
  </si>
  <si>
    <t>Your plan, if a flag is red or amber</t>
  </si>
  <si>
    <t>Plan: hold headcount at 13, cut $25K a month of tools and contractors by December, and focus sales on groups with 10 or more sites.</t>
  </si>
  <si>
    <t>Ask 1</t>
  </si>
  <si>
    <t>Intros to heads of operations at dental groups with 20 or more sites.</t>
  </si>
  <si>
    <t>Ask 2</t>
  </si>
  <si>
    <t>A referral for a senior account executive who has sold into healthcare.</t>
  </si>
  <si>
    <t>Ask 3</t>
  </si>
  <si>
    <t>Highlight 1</t>
  </si>
  <si>
    <t>Signed two groups with 14 sites between them.</t>
  </si>
  <si>
    <t>Highlight 2</t>
  </si>
  <si>
    <t>Shipped multi-location reporting; 12 customers use it weekly.</t>
  </si>
  <si>
    <t>Highlight 3</t>
  </si>
  <si>
    <t>Lowlight 1</t>
  </si>
  <si>
    <t>Growth was 3.8% this month against a 6% plan. Two deals slipped to October.</t>
  </si>
  <si>
    <t>What you are changing (lowlight 1)</t>
  </si>
  <si>
    <t>Weekly pipeline review with the founders; no new spend until the two deals close.</t>
  </si>
  <si>
    <t>Lowlight 2</t>
  </si>
  <si>
    <t>What you are changing (lowlight 2)</t>
  </si>
  <si>
    <t>Next month 1</t>
  </si>
  <si>
    <t>Close the two slipped deals.</t>
  </si>
  <si>
    <t>Next month 2</t>
  </si>
  <si>
    <t>Hire the senior account executive.</t>
  </si>
  <si>
    <t>Thank you (who helped)</t>
  </si>
  <si>
    <t>Thanks to everyone who sent intros last month; three became pilots.</t>
  </si>
  <si>
    <t>Put the default alive line in the draft</t>
  </si>
  <si>
    <t>Yes</t>
  </si>
  <si>
    <t>It is on 03 Outputs either way.</t>
  </si>
  <si>
    <t>Raise status</t>
  </si>
  <si>
    <t>Raising in 6 to 12 months</t>
  </si>
  <si>
    <t>Raise note (optional)</t>
  </si>
  <si>
    <t>D. YOUR THRESHOLDS</t>
  </si>
  <si>
    <t>Runway red flag under (months)</t>
  </si>
  <si>
    <t>Your rule, not a statistic. A raise takes months; leave room.</t>
  </si>
  <si>
    <t>Runway amber under (months)</t>
  </si>
  <si>
    <t>Cash tie out tolerance ($)</t>
  </si>
  <si>
    <t>Rounding allowance before a month counts as not tying out.</t>
  </si>
  <si>
    <t>Covered: revenue already covers spending at that level. Rows are your growth rate plus or minus one and two points a month. The center cell is the Model answer.</t>
  </si>
  <si>
    <t>Read across a row to see how much spending you would need to cut to survive at today's growth. Read down a column to see the growth that saves you at today's spending.</t>
  </si>
  <si>
    <t>Example numbers and words, not a real company. For educational purposes; not legal or financial advice.</t>
  </si>
  <si>
    <t>S-04  CHECKS</t>
  </si>
  <si>
    <t>Every check is a live formula. If any says FAIL, fix the input it names before you trust the answer.</t>
  </si>
  <si>
    <t>All checks</t>
  </si>
  <si>
    <t>Check</t>
  </si>
  <si>
    <t>Result</t>
  </si>
  <si>
    <t>What it tests</t>
  </si>
  <si>
    <t>At least one month entered</t>
  </si>
  <si>
    <t>S-04  SOURCES AND METHOD</t>
  </si>
  <si>
    <t>SOURCES</t>
  </si>
  <si>
    <t>Revenue in the first log row.</t>
  </si>
  <si>
    <t>Source</t>
  </si>
  <si>
    <t>What it supports</t>
  </si>
  <si>
    <t>As of</t>
  </si>
  <si>
    <t>Months entered from the top with no gaps</t>
  </si>
  <si>
    <t>Paul Graham, Default Alive or Default Dead? paulgraham.com/aord.html</t>
  </si>
  <si>
    <t>The test: with expenses constant and revenue growing at the recent rate, do you reach profitability on the money you have.</t>
  </si>
  <si>
    <t>October 2015 (concept, dated)</t>
  </si>
  <si>
    <t>David Sacks, The Burn Multiple. sacks.substack.com/p/the-burn-multiple-51a7e43cb200</t>
  </si>
  <si>
    <t>Burn multiple = net burn / net new ARR, and the scale used for the band: under 1x Amazing, 1 to 1.5x Great, 1.5 to 2x Good, 2 to 3x Suspect, over 3x Bad.</t>
  </si>
  <si>
    <t>April 2020 (dated; investors still use the scale)</t>
  </si>
  <si>
    <t>Aaron Harris, Investor Updates. blog.aaronkharris.com/investor-updates</t>
  </si>
  <si>
    <t>Updates that report the same metrics every month; dropping a metric because you missed it is bad (note 3).</t>
  </si>
  <si>
    <t>Essay (undated)</t>
  </si>
  <si>
    <t>METHOD AND LIMITS</t>
  </si>
  <si>
    <t>Runway thresholds, tie out tolerance and the 2x flag line are your settings, not statistics.</t>
  </si>
  <si>
    <t>Default alive holds spending at the recent average and compounds revenue at the recent rate. It assumes cash collected tracks the revenue you report. Annual prepayments or a big one time cost distort it; that is why burn is averaged over three months.</t>
  </si>
  <si>
    <t>Growth needed is solved by 30 step bisection on 0% to 50% a month. The 60 month path and the closed form are checked against each other on 98 Checks.</t>
  </si>
  <si>
    <t>The update order is numbers, asks, highlights, lowlights with the fix, next month. Change the order in your email if your investors prefer another.</t>
  </si>
  <si>
    <t>Revenue, cash and net burn in every row from the first month to the latest, nothing below.</t>
  </si>
  <si>
    <t>Cash ties out every month</t>
  </si>
  <si>
    <t>Last month's cash minus net burn plus money raised equals this month's cash. If not, a number is wrong.</t>
  </si>
  <si>
    <t>No negative revenue or cash</t>
  </si>
  <si>
    <t>Thresholds in order</t>
  </si>
  <si>
    <t>Red under amber, both above zero.</t>
  </si>
  <si>
    <t>Path engine matches the closed form</t>
  </si>
  <si>
    <t>Month by month cash equals the formula for the low point.</t>
  </si>
  <si>
    <t>Growth needed agrees with the verdict</t>
  </si>
  <si>
    <t>Alive exactly when growth is at or above the growth needed.</t>
  </si>
  <si>
    <t>Sensitivity center matches the model</t>
  </si>
  <si>
    <t>Draft has lines</t>
  </si>
  <si>
    <t>WORKED EXAMPLE (defaults, by hand)</t>
  </si>
  <si>
    <t>Example numbers: September 2026 revenue $68,000, August $65,500 (+3.8%), June $61,000. Growth (68,000 / 61,000)^(1/3) minus 1 = 3.69% a month.</t>
  </si>
  <si>
    <t>Average burn (185,000 + 195,000 + 205,000) / 3 = $195,000. Cash $3,515,000 / 195,000 = 18.0 months of runway.</t>
  </si>
  <si>
    <t>Burn multiple 585,000 / (12 x 7,000) = 7.0x. Spending (revenue plus burn) averages $260,500.</t>
  </si>
  <si>
    <t>At 3.69% revenue reaches $260,500 in month 38; cash goes below zero in month 24. Default dead. About 4.5% a month would make it alive.</t>
  </si>
  <si>
    <t>B. THIS MONTH</t>
  </si>
  <si>
    <t>Months entered (n)</t>
  </si>
  <si>
    <t>Complete rows among the first n</t>
  </si>
  <si>
    <t>Complete rows anywhere</t>
  </si>
  <si>
    <t>Latest month</t>
  </si>
  <si>
    <t>Latest month, as text</t>
  </si>
  <si>
    <t>Revenue this month</t>
  </si>
  <si>
    <t>Revenue last month</t>
  </si>
  <si>
    <t>Months for growth (k)</t>
  </si>
  <si>
    <t>Months for burn average</t>
  </si>
  <si>
    <t>Revenue k months ago</t>
  </si>
  <si>
    <t>Cash this month</t>
  </si>
  <si>
    <t>Net burn this month</t>
  </si>
  <si>
    <t>Average net burn, last kk months</t>
  </si>
  <si>
    <t>Net burn summed over the last k months</t>
  </si>
  <si>
    <t>Spending: average of revenue plus net burn, last kk months</t>
  </si>
  <si>
    <t>Growth this month</t>
  </si>
  <si>
    <t>Compounded monthly growth, last k months</t>
  </si>
  <si>
    <t>Growth used for default alive</t>
  </si>
  <si>
    <t>Cash flow positive (average burn at or below 0)</t>
  </si>
  <si>
    <t>Runway (months)</t>
  </si>
  <si>
    <t>999 means cash flow positive.</t>
  </si>
  <si>
    <t>Runway, as text</t>
  </si>
  <si>
    <t>Cash out at the average burn</t>
  </si>
  <si>
    <t>Period text</t>
  </si>
  <si>
    <t>Burn multiple, last k months</t>
  </si>
  <si>
    <t>Burn multiple band (2020 scale)</t>
  </si>
  <si>
    <t>Customers reported this month</t>
  </si>
  <si>
    <t>Headcount reported this month</t>
  </si>
  <si>
    <t>KPI reported this month</t>
  </si>
  <si>
    <t>Customers reported last month</t>
  </si>
  <si>
    <t>Headcount reported last month</t>
  </si>
  <si>
    <t>KPI reported last month</t>
  </si>
  <si>
    <t>Largest cash tie out gap</t>
  </si>
  <si>
    <t>First month that does not tie out</t>
  </si>
  <si>
    <t>Customers this month</t>
  </si>
  <si>
    <t>Customers last month</t>
  </si>
  <si>
    <t>Headcount this month</t>
  </si>
  <si>
    <t>Headcount last month</t>
  </si>
  <si>
    <t>KPI this month</t>
  </si>
  <si>
    <t>KPI last month</t>
  </si>
  <si>
    <t>C. DEFAULT ALIVE (spending flat, revenue grows at g)</t>
  </si>
  <si>
    <t>Test applies (revenue, two months, spending above revenue)</t>
  </si>
  <si>
    <t>Month revenue covers spending (k*)</t>
  </si>
  <si>
    <t>Lowest cash before that month</t>
  </si>
  <si>
    <t>Default alive status</t>
  </si>
  <si>
    <t>Month revenue covers spending, as a date</t>
  </si>
  <si>
    <t>Month cash runs out on this path (0 = not within 60)</t>
  </si>
  <si>
    <t>Cash out on this path, as a date</t>
  </si>
  <si>
    <t>Engine: cash in the month before k*</t>
  </si>
  <si>
    <t>Alive at 50% a month</t>
  </si>
  <si>
    <t>Growth needed (bisection, below)</t>
  </si>
  <si>
    <t>Growth needed, as text</t>
  </si>
  <si>
    <t>Default alive, short</t>
  </si>
  <si>
    <t>Step</t>
  </si>
  <si>
    <t>Low</t>
  </si>
  <si>
    <t>High</t>
  </si>
  <si>
    <t>Mid</t>
  </si>
  <si>
    <t>Alive at mid</t>
  </si>
  <si>
    <t>D. 60 MONTH PATH (spending flat at the average, revenue at g)</t>
  </si>
  <si>
    <t>Spending</t>
  </si>
  <si>
    <t>E. FLAGS</t>
  </si>
  <si>
    <t>Flag</t>
  </si>
  <si>
    <t>Level</t>
  </si>
  <si>
    <t>Message</t>
  </si>
  <si>
    <t>Default alive</t>
  </si>
  <si>
    <t>Revenue down</t>
  </si>
  <si>
    <t>Burn multiple</t>
  </si>
  <si>
    <t>Dropped metric</t>
  </si>
  <si>
    <t>Asks</t>
  </si>
  <si>
    <t>Plan line</t>
  </si>
  <si>
    <t>Red flags</t>
  </si>
  <si>
    <t>Amber flags</t>
  </si>
  <si>
    <t>Status</t>
  </si>
  <si>
    <t>One line answer</t>
  </si>
  <si>
    <t>F. THE UPDATE, LINE BY LINE (blank lines are dropped)</t>
  </si>
  <si>
    <t>Keep</t>
  </si>
  <si>
    <t>Line</t>
  </si>
  <si>
    <t>Lines in the draft</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</si>
</sst>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mmm yyyy"/>
    <numFmt numFmtId="165" formatCode="$#,##0;($#,##0);&quot;$0&quot;"/>
    <numFmt numFmtId="166" formatCode="+0%;-0%;0%"/>
    <numFmt numFmtId="167" formatCode="0.0%"/>
    <numFmt numFmtId="168" formatCode="$#,##0.0,,&quot;M&quot;;($#,##0.0,,&quot;M&quot;);&quot;$0&quot;"/>
    <numFmt numFmtId="169" formatCode="0.0"/>
    <numFmt numFmtId="170" formatCode="0.0000%"/>
  </numFmts>
  <fonts count="11">
    <font>
      <sz val="11.0"/>
      <color theme="1"/>
      <name val="Calibri"/>
      <scheme val="minor"/>
    </font>
    <font>
      <b/>
      <sz val="16.0"/>
      <color rgb="FFFFFFFF"/>
      <name val="Calibri"/>
    </font>
    <font>
      <sz val="11.0"/>
      <color theme="1"/>
      <name val="Calibri"/>
    </font>
    <font>
      <i/>
      <sz val="9.0"/>
      <color rgb="FF555555"/>
      <name val="Calibri"/>
    </font>
    <font>
      <b/>
      <sz val="11.0"/>
      <color rgb="FFFFFFFF"/>
      <name val="Calibri"/>
    </font>
    <font>
      <sz val="10.0"/>
      <color rgb="FF000000"/>
      <name val="Calibri"/>
    </font>
    <font>
      <b/>
      <sz val="10.0"/>
      <color rgb="FF0B1F3A"/>
      <name val="Calibri"/>
    </font>
    <font>
      <b/>
      <sz val="10.0"/>
      <color rgb="FF0000FF"/>
      <name val="Calibri"/>
    </font>
    <font>
      <b/>
      <sz val="13.0"/>
      <color rgb="FF0B1F3A"/>
      <name val="Calibri"/>
    </font>
    <font>
      <b/>
      <sz val="12.0"/>
      <color rgb="FF000000"/>
      <name val="Calibri"/>
    </font>
    <font/>
  </fonts>
  <fills count="6">
    <fill>
      <patternFill patternType="none"/>
    </fill>
    <fill>
      <patternFill patternType="lightGray"/>
    </fill>
    <fill>
      <patternFill patternType="solid">
        <fgColor rgb="FF0B1F3A"/>
        <bgColor rgb="FF0B1F3A"/>
      </patternFill>
    </fill>
    <fill>
      <patternFill patternType="solid">
        <fgColor rgb="FFFFF2CC"/>
        <bgColor rgb="FFFFF2CC"/>
      </patternFill>
    </fill>
    <fill>
      <patternFill patternType="solid">
        <fgColor rgb="FFF2F2F2"/>
        <bgColor rgb="FFF2F2F2"/>
      </patternFill>
    </fill>
    <fill>
      <patternFill patternType="solid">
        <fgColor rgb="FFE8EEF4"/>
        <bgColor rgb="FFE8EEF4"/>
      </patternFill>
    </fill>
  </fills>
  <borders count="9">
    <border/>
    <border>
      <left/>
      <right/>
      <top/>
      <bottom/>
    </border>
    <border>
      <left style="thin">
        <color rgb="FFBFBFBF"/>
      </left>
      <right style="thin">
        <color rgb="FFBFBFBF"/>
      </right>
      <top style="thin">
        <color rgb="FFBFBFBF"/>
      </top>
      <bottom style="thin">
        <color rgb="FFBFBFBF"/>
      </bottom>
    </border>
    <border>
      <left/>
      <top/>
      <bottom/>
    </border>
    <border>
      <top/>
      <bottom/>
    </border>
    <border>
      <right/>
      <top/>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Border="1" applyFill="1" applyFont="1"/>
    <xf borderId="0" fillId="0" fontId="3" numFmtId="0" xfId="0" applyFont="1"/>
    <xf borderId="1" fillId="2" fontId="4" numFmtId="0" xfId="0" applyBorder="1" applyFill="1" applyFont="1"/>
    <xf borderId="0" fillId="0" fontId="5" numFmtId="0" xfId="0" applyAlignment="1" applyFont="1">
      <alignment shrinkToFit="0" vertical="top" wrapText="1"/>
    </xf>
    <xf borderId="0" fillId="0" fontId="6" numFmtId="0" xfId="0" applyAlignment="1" applyFont="1">
      <alignment vertical="center"/>
    </xf>
    <xf borderId="1" fillId="3" fontId="7" numFmtId="0" xfId="0" applyBorder="1" applyFill="1" applyFont="1"/>
    <xf borderId="0" fillId="0" fontId="5" numFmtId="0" xfId="0" applyFont="1"/>
    <xf borderId="2" fillId="4" fontId="8" numFmtId="0" xfId="0" applyBorder="1" applyFill="1" applyFont="1"/>
    <xf borderId="1" fillId="4" fontId="6" numFmtId="0" xfId="0" applyBorder="1" applyFill="1" applyFont="1"/>
    <xf borderId="0" fillId="0" fontId="6" numFmtId="0" xfId="0" applyAlignment="1" applyFont="1">
      <alignment shrinkToFit="0" vertical="top" wrapText="1"/>
    </xf>
    <xf borderId="0" fillId="0" fontId="3" numFmtId="0" xfId="0" applyAlignment="1" applyFont="1">
      <alignment shrinkToFit="0" vertical="top" wrapText="1"/>
    </xf>
    <xf borderId="3" fillId="4" fontId="9" numFmtId="0" xfId="0" applyAlignment="1" applyBorder="1" applyFill="1" applyFont="1">
      <alignment shrinkToFit="0" vertical="top" wrapText="1"/>
    </xf>
    <xf borderId="4" fillId="0" fontId="10" numFmtId="0" xfId="0" applyBorder="1" applyFont="1"/>
    <xf borderId="5" fillId="0" fontId="10" numFmtId="0" xfId="0" applyBorder="1" applyFont="1"/>
    <xf borderId="0" fillId="0" fontId="5" numFmtId="0" xfId="0" applyAlignment="1" applyFont="1">
      <alignment vertical="center"/>
    </xf>
    <xf borderId="2" fillId="3" fontId="7" numFmtId="49" xfId="0" applyBorder="1" applyFill="1" applyFont="1" applyNumberFormat="1"/>
    <xf borderId="2" fillId="3" fontId="7" numFmtId="164" xfId="0" applyBorder="1" applyFill="1" applyFont="1" applyNumberFormat="1"/>
    <xf borderId="1" fillId="4" fontId="9" numFmtId="0" xfId="0" applyAlignment="1" applyBorder="1" applyFill="1" applyFont="1">
      <alignment shrinkToFit="0" vertical="top" wrapText="1"/>
    </xf>
    <xf borderId="2" fillId="3" fontId="7" numFmtId="0" xfId="0" applyBorder="1" applyFill="1" applyFont="1"/>
    <xf borderId="2" fillId="5" fontId="6" numFmtId="0" xfId="0" applyAlignment="1" applyBorder="1" applyFill="1" applyFont="1">
      <alignment shrinkToFit="0" vertical="top" wrapText="1"/>
    </xf>
    <xf borderId="2" fillId="0" fontId="5" numFmtId="1" xfId="0" applyBorder="1" applyFont="1" applyNumberFormat="1"/>
    <xf borderId="2" fillId="0" fontId="5" numFmtId="0" xfId="0" applyAlignment="1" applyBorder="1" applyFont="1">
      <alignment shrinkToFit="0" vertical="top" wrapText="1"/>
    </xf>
    <xf borderId="2" fillId="0" fontId="5" numFmtId="164" xfId="0" applyBorder="1" applyFont="1" applyNumberFormat="1"/>
    <xf borderId="2" fillId="3" fontId="7" numFmtId="165" xfId="0" applyBorder="1" applyFill="1" applyFont="1" applyNumberFormat="1"/>
    <xf borderId="2" fillId="3" fontId="7" numFmtId="3" xfId="0" applyBorder="1" applyFill="1" applyFont="1" applyNumberFormat="1"/>
    <xf borderId="2" fillId="3" fontId="7" numFmtId="4" xfId="0" applyBorder="1" applyFill="1" applyFont="1" applyNumberFormat="1"/>
    <xf borderId="2" fillId="0" fontId="5" numFmtId="165" xfId="0" applyBorder="1" applyFont="1" applyNumberFormat="1"/>
    <xf borderId="2" fillId="0" fontId="5" numFmtId="49" xfId="0" applyBorder="1" applyFont="1" applyNumberFormat="1"/>
    <xf borderId="2" fillId="0" fontId="5" numFmtId="166" xfId="0" applyBorder="1" applyFont="1" applyNumberFormat="1"/>
    <xf borderId="2" fillId="0" fontId="5" numFmtId="167" xfId="0" applyBorder="1" applyFont="1" applyNumberFormat="1"/>
    <xf borderId="6" fillId="3" fontId="7" numFmtId="0" xfId="0" applyAlignment="1" applyBorder="1" applyFill="1" applyFont="1">
      <alignment shrinkToFit="0" vertical="top" wrapText="1"/>
    </xf>
    <xf borderId="7" fillId="0" fontId="10" numFmtId="0" xfId="0" applyBorder="1" applyFont="1"/>
    <xf borderId="8" fillId="0" fontId="10" numFmtId="0" xfId="0" applyBorder="1" applyFont="1"/>
    <xf borderId="2" fillId="0" fontId="5" numFmtId="168" xfId="0" applyBorder="1" applyFont="1" applyNumberFormat="1"/>
    <xf borderId="2" fillId="3" fontId="7" numFmtId="1" xfId="0" applyBorder="1" applyFill="1" applyFont="1" applyNumberFormat="1"/>
    <xf borderId="2" fillId="0" fontId="8" numFmtId="0" xfId="0" applyBorder="1" applyFont="1"/>
    <xf borderId="2" fillId="0" fontId="6" numFmtId="0" xfId="0" applyBorder="1" applyFont="1"/>
    <xf borderId="2" fillId="0" fontId="3" numFmtId="0" xfId="0" applyAlignment="1" applyBorder="1" applyFont="1">
      <alignment shrinkToFit="0" vertical="top" wrapText="1"/>
    </xf>
    <xf borderId="2" fillId="0" fontId="5" numFmtId="0" xfId="0" applyBorder="1" applyFont="1"/>
    <xf borderId="2" fillId="0" fontId="5" numFmtId="10" xfId="0" applyBorder="1" applyFont="1" applyNumberFormat="1"/>
    <xf borderId="2" fillId="0" fontId="5" numFmtId="169" xfId="0" applyBorder="1" applyFont="1" applyNumberFormat="1"/>
    <xf borderId="2" fillId="0" fontId="5" numFmtId="2" xfId="0" applyBorder="1" applyFont="1" applyNumberFormat="1"/>
    <xf borderId="2" fillId="0" fontId="5" numFmtId="3" xfId="0" applyBorder="1" applyFont="1" applyNumberFormat="1"/>
    <xf borderId="2" fillId="0" fontId="5" numFmtId="170" xfId="0" applyBorder="1" applyFont="1" applyNumberFormat="1"/>
  </cellXfs>
  <cellStyles count="1">
    <cellStyle xfId="0" name="Normal" builtinId="0"/>
  </cellStyles>
  <dxfs count="3">
    <dxf>
      <font/>
      <fill>
        <patternFill patternType="solid">
          <fgColor rgb="FFFFC7CE"/>
          <bgColor rgb="FFFFC7CE"/>
        </patternFill>
      </fill>
      <border/>
    </dxf>
    <dxf>
      <font/>
      <fill>
        <patternFill patternType="solid">
          <fgColor rgb="FFC6EFCE"/>
          <bgColor rgb="FFC6EFCE"/>
        </patternFill>
      </fill>
      <border/>
    </dxf>
    <dxf>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110.0"/>
    <col customWidth="1" min="3" max="3" width="4.0"/>
    <col customWidth="1" min="4" max="26" width="8.71"/>
  </cols>
  <sheetData>
    <row r="1" ht="30.0" customHeight="1">
      <c r="A1" s="1" t="s">
        <v>1</v>
      </c>
      <c r="B1" s="2"/>
      <c r="C1" s="2"/>
    </row>
    <row r="2">
      <c r="A2" s="3" t="s">
        <v>2</v>
      </c>
    </row>
    <row r="4">
      <c r="A4" s="4" t="s">
        <v>3</v>
      </c>
      <c r="B4" s="2"/>
      <c r="C4" s="2"/>
    </row>
    <row r="5" ht="31.5" customHeight="1">
      <c r="B5" s="5" t="s">
        <v>5</v>
      </c>
    </row>
    <row r="7">
      <c r="A7" s="4" t="s">
        <v>6</v>
      </c>
      <c r="B7" s="2"/>
      <c r="C7" s="2"/>
    </row>
    <row r="8" ht="30.0" customHeight="1">
      <c r="B8" s="5" t="s">
        <v>8</v>
      </c>
    </row>
    <row r="9" ht="30.0" customHeight="1">
      <c r="B9" s="5" t="s">
        <v>9</v>
      </c>
    </row>
    <row r="10" ht="30.0" customHeight="1">
      <c r="B10" s="5" t="s">
        <v>10</v>
      </c>
    </row>
    <row r="11" ht="30.0" customHeight="1">
      <c r="B11" s="5" t="s">
        <v>11</v>
      </c>
    </row>
    <row r="12" ht="30.0" customHeight="1">
      <c r="B12" s="5" t="s">
        <v>13</v>
      </c>
    </row>
    <row r="14">
      <c r="A14" s="4" t="s">
        <v>14</v>
      </c>
      <c r="B14" s="2"/>
      <c r="C14" s="2"/>
    </row>
    <row r="15" ht="30.0" customHeight="1">
      <c r="B15" s="5" t="s">
        <v>15</v>
      </c>
    </row>
    <row r="16" ht="30.0" customHeight="1">
      <c r="B16" s="5" t="s">
        <v>16</v>
      </c>
    </row>
    <row r="17" ht="30.0" customHeight="1">
      <c r="B17" s="5" t="s">
        <v>17</v>
      </c>
    </row>
    <row r="18" ht="30.0" customHeight="1">
      <c r="B18" s="5" t="s">
        <v>18</v>
      </c>
    </row>
    <row r="19" ht="30.0" customHeight="1">
      <c r="B19" s="5" t="s">
        <v>19</v>
      </c>
    </row>
    <row r="21" ht="15.75" customHeight="1">
      <c r="A21" s="4" t="s">
        <v>20</v>
      </c>
      <c r="B21" s="2"/>
      <c r="C21" s="2"/>
    </row>
    <row r="22" ht="15.75" customHeight="1">
      <c r="B22" s="7" t="s">
        <v>21</v>
      </c>
    </row>
    <row r="23" ht="15.75" customHeight="1">
      <c r="B23" s="8" t="s">
        <v>22</v>
      </c>
    </row>
    <row r="24" ht="15.75" customHeight="1">
      <c r="B24" s="10" t="s">
        <v>23</v>
      </c>
    </row>
    <row r="25" ht="15.75" customHeight="1"/>
    <row r="26" ht="15.75" customHeight="1">
      <c r="A26" s="4" t="s">
        <v>25</v>
      </c>
      <c r="B26" s="2"/>
      <c r="C26" s="2"/>
    </row>
    <row r="27" ht="43.5" customHeight="1">
      <c r="B27" s="5" t="s">
        <v>26</v>
      </c>
    </row>
    <row r="28" ht="15.75" customHeight="1">
      <c r="B28" s="5" t="s">
        <v>27</v>
      </c>
    </row>
    <row r="29" ht="15.75" customHeight="1"/>
    <row r="30" ht="15.75" customHeight="1">
      <c r="B30" s="11" t="s">
        <v>29</v>
      </c>
    </row>
    <row r="31" ht="15.75" customHeight="1">
      <c r="B31" s="12" t="s">
        <v>30</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4.0"/>
    <col customWidth="1" min="3" max="6" width="15.0"/>
    <col customWidth="1" min="7" max="8" width="13.0"/>
    <col customWidth="1" min="9" max="9" width="15.0"/>
    <col customWidth="1" min="10" max="26" width="8.71"/>
  </cols>
  <sheetData>
    <row r="1" ht="30.0" customHeight="1">
      <c r="A1" s="1" t="s">
        <v>0</v>
      </c>
      <c r="B1" s="2"/>
      <c r="C1" s="2"/>
      <c r="D1" s="2"/>
      <c r="E1" s="2"/>
      <c r="F1" s="2"/>
      <c r="G1" s="2"/>
      <c r="H1" s="2"/>
      <c r="I1" s="2"/>
    </row>
    <row r="2">
      <c r="A2" s="3" t="s">
        <v>4</v>
      </c>
    </row>
    <row r="4">
      <c r="A4" s="4" t="s">
        <v>7</v>
      </c>
      <c r="B4" s="2"/>
      <c r="C4" s="2"/>
      <c r="D4" s="2"/>
      <c r="E4" s="2"/>
      <c r="F4" s="2"/>
      <c r="G4" s="2"/>
      <c r="H4" s="2"/>
      <c r="I4" s="2"/>
    </row>
    <row r="5" ht="19.5" customHeight="1">
      <c r="B5" s="6" t="s">
        <v>12</v>
      </c>
      <c r="C5" s="9" t="str">
        <f t="array" ref="C5">INDIRECT("'02 Model'!C192")</f>
        <v>Ready. Read the 2 amber flags first</v>
      </c>
    </row>
    <row r="6" ht="19.5" customHeight="1">
      <c r="B6" s="6" t="s">
        <v>24</v>
      </c>
      <c r="C6" s="9" t="str">
        <f t="array" ref="C6">INDIRECT("'02 Model'!C52")</f>
        <v>18.0 months</v>
      </c>
    </row>
    <row r="7" ht="19.5" customHeight="1">
      <c r="B7" s="6" t="s">
        <v>28</v>
      </c>
      <c r="C7" s="9" t="str">
        <f t="array" ref="C7">INDIRECT("'02 Model'!C84")</f>
        <v>No</v>
      </c>
    </row>
    <row r="8" ht="19.5" customHeight="1">
      <c r="B8" s="6" t="s">
        <v>31</v>
      </c>
      <c r="C8" s="9" t="str">
        <f t="array" ref="C8">INDIRECT("'02 Model'!C83")</f>
        <v>4.5% a month, vs 3.7% now</v>
      </c>
    </row>
    <row r="9" ht="57.75" customHeight="1">
      <c r="B9" s="13" t="str">
        <f t="array" ref="B9">INDIRECT("'02 Model'!C193")</f>
        <v>September 2026: MRR $68,000, +3.8% on last month. Runway 18.0 months. Default dead: you need 4.5% a month and you are growing 3.7% a month over the last 3 months. 2 amber flags on 03 Outputs.</v>
      </c>
      <c r="C9" s="14"/>
      <c r="D9" s="14"/>
      <c r="E9" s="14"/>
      <c r="F9" s="14"/>
      <c r="G9" s="14"/>
      <c r="H9" s="14"/>
      <c r="I9" s="15"/>
    </row>
    <row r="11">
      <c r="A11" s="4" t="s">
        <v>36</v>
      </c>
      <c r="B11" s="2"/>
      <c r="C11" s="2"/>
      <c r="D11" s="2"/>
      <c r="E11" s="2"/>
      <c r="F11" s="2"/>
      <c r="G11" s="2"/>
      <c r="H11" s="2"/>
      <c r="I11" s="2"/>
    </row>
    <row r="12">
      <c r="B12" s="16" t="s">
        <v>37</v>
      </c>
      <c r="C12" s="17" t="s">
        <v>38</v>
      </c>
    </row>
    <row r="13">
      <c r="B13" s="16" t="s">
        <v>39</v>
      </c>
      <c r="C13" s="17" t="s">
        <v>40</v>
      </c>
    </row>
    <row r="14">
      <c r="B14" s="16" t="s">
        <v>41</v>
      </c>
      <c r="C14" s="17" t="s">
        <v>42</v>
      </c>
      <c r="D14" s="12" t="s">
        <v>43</v>
      </c>
    </row>
    <row r="15">
      <c r="B15" s="16" t="s">
        <v>44</v>
      </c>
      <c r="C15" s="18">
        <v>46023.0</v>
      </c>
      <c r="D15" s="12" t="s">
        <v>46</v>
      </c>
    </row>
    <row r="16">
      <c r="B16" s="16" t="s">
        <v>47</v>
      </c>
      <c r="C16" s="17" t="s">
        <v>48</v>
      </c>
      <c r="D16" s="12" t="s">
        <v>49</v>
      </c>
    </row>
    <row r="17">
      <c r="B17" s="16" t="s">
        <v>50</v>
      </c>
      <c r="C17" s="20" t="s">
        <v>51</v>
      </c>
    </row>
    <row r="19">
      <c r="A19" s="4" t="s">
        <v>53</v>
      </c>
      <c r="B19" s="2"/>
      <c r="C19" s="2"/>
      <c r="D19" s="2"/>
      <c r="E19" s="2"/>
      <c r="F19" s="2"/>
      <c r="G19" s="2"/>
      <c r="H19" s="2"/>
      <c r="I19" s="2"/>
    </row>
    <row r="20">
      <c r="B20" s="21" t="s">
        <v>54</v>
      </c>
      <c r="C20" s="21" t="s">
        <v>61</v>
      </c>
      <c r="D20" s="21" t="s">
        <v>63</v>
      </c>
      <c r="E20" s="21" t="s">
        <v>65</v>
      </c>
      <c r="F20" s="21" t="s">
        <v>67</v>
      </c>
      <c r="G20" s="21" t="s">
        <v>69</v>
      </c>
      <c r="H20" s="21" t="s">
        <v>71</v>
      </c>
      <c r="I20" s="21" t="s">
        <v>73</v>
      </c>
    </row>
    <row r="21" ht="15.75" customHeight="1">
      <c r="B21" s="24">
        <f>EDATE(N($C$15),0)</f>
        <v>46023</v>
      </c>
      <c r="C21" s="25">
        <v>50000.0</v>
      </c>
      <c r="D21" s="25">
        <v>800000.0</v>
      </c>
      <c r="E21" s="25">
        <v>90000.0</v>
      </c>
      <c r="F21" s="25">
        <v>0.0</v>
      </c>
      <c r="G21" s="26">
        <v>31.0</v>
      </c>
      <c r="H21" s="26">
        <v>7.0</v>
      </c>
      <c r="I21" s="27">
        <v>0.92</v>
      </c>
    </row>
    <row r="22" ht="15.75" customHeight="1">
      <c r="B22" s="24">
        <f>EDATE(N($C$15),1)</f>
        <v>46054</v>
      </c>
      <c r="C22" s="25">
        <v>52000.0</v>
      </c>
      <c r="D22" s="25">
        <v>4690000.0</v>
      </c>
      <c r="E22" s="25">
        <v>110000.0</v>
      </c>
      <c r="F22" s="25">
        <v>4000000.0</v>
      </c>
      <c r="G22" s="26">
        <v>33.0</v>
      </c>
      <c r="H22" s="26">
        <v>8.0</v>
      </c>
      <c r="I22" s="27">
        <v>0.93</v>
      </c>
    </row>
    <row r="23" ht="15.75" customHeight="1">
      <c r="B23" s="24">
        <f>EDATE(N($C$15),2)</f>
        <v>46082</v>
      </c>
      <c r="C23" s="25">
        <v>54000.0</v>
      </c>
      <c r="D23" s="25">
        <v>4565000.0</v>
      </c>
      <c r="E23" s="25">
        <v>125000.0</v>
      </c>
      <c r="F23" s="25">
        <v>0.0</v>
      </c>
      <c r="G23" s="26">
        <v>35.0</v>
      </c>
      <c r="H23" s="26">
        <v>9.0</v>
      </c>
      <c r="I23" s="27">
        <v>0.94</v>
      </c>
    </row>
    <row r="24" ht="15.75" customHeight="1">
      <c r="B24" s="24">
        <f>EDATE(N($C$15),3)</f>
        <v>46113</v>
      </c>
      <c r="C24" s="25">
        <v>56500.0</v>
      </c>
      <c r="D24" s="25">
        <v>4425000.0</v>
      </c>
      <c r="E24" s="25">
        <v>140000.0</v>
      </c>
      <c r="F24" s="25">
        <v>0.0</v>
      </c>
      <c r="G24" s="26">
        <v>36.0</v>
      </c>
      <c r="H24" s="26">
        <v>10.0</v>
      </c>
      <c r="I24" s="27">
        <v>0.95</v>
      </c>
    </row>
    <row r="25" ht="15.75" customHeight="1">
      <c r="B25" s="24">
        <f>EDATE(N($C$15),4)</f>
        <v>46143</v>
      </c>
      <c r="C25" s="25">
        <v>58500.0</v>
      </c>
      <c r="D25" s="25">
        <v>4270000.0</v>
      </c>
      <c r="E25" s="25">
        <v>155000.0</v>
      </c>
      <c r="F25" s="25">
        <v>0.0</v>
      </c>
      <c r="G25" s="26">
        <v>38.0</v>
      </c>
      <c r="H25" s="26">
        <v>11.0</v>
      </c>
      <c r="I25" s="27">
        <v>0.94</v>
      </c>
    </row>
    <row r="26" ht="15.75" customHeight="1">
      <c r="B26" s="24">
        <f>EDATE(N($C$15),5)</f>
        <v>46174</v>
      </c>
      <c r="C26" s="25">
        <v>61000.0</v>
      </c>
      <c r="D26" s="25">
        <v>4100000.0</v>
      </c>
      <c r="E26" s="25">
        <v>170000.0</v>
      </c>
      <c r="F26" s="25">
        <v>0.0</v>
      </c>
      <c r="G26" s="26">
        <v>40.0</v>
      </c>
      <c r="H26" s="26">
        <v>11.0</v>
      </c>
      <c r="I26" s="27">
        <v>0.96</v>
      </c>
    </row>
    <row r="27" ht="15.75" customHeight="1">
      <c r="B27" s="24">
        <f>EDATE(N($C$15),6)</f>
        <v>46204</v>
      </c>
      <c r="C27" s="25">
        <v>63000.0</v>
      </c>
      <c r="D27" s="25">
        <v>3915000.0</v>
      </c>
      <c r="E27" s="25">
        <v>185000.0</v>
      </c>
      <c r="F27" s="25">
        <v>0.0</v>
      </c>
      <c r="G27" s="26">
        <v>41.0</v>
      </c>
      <c r="H27" s="26">
        <v>12.0</v>
      </c>
      <c r="I27" s="27">
        <v>0.97</v>
      </c>
    </row>
    <row r="28" ht="15.75" customHeight="1">
      <c r="B28" s="24">
        <f>EDATE(N($C$15),7)</f>
        <v>46235</v>
      </c>
      <c r="C28" s="25">
        <v>65500.0</v>
      </c>
      <c r="D28" s="25">
        <v>3720000.0</v>
      </c>
      <c r="E28" s="25">
        <v>195000.0</v>
      </c>
      <c r="F28" s="25">
        <v>0.0</v>
      </c>
      <c r="G28" s="26">
        <v>43.0</v>
      </c>
      <c r="H28" s="26">
        <v>13.0</v>
      </c>
      <c r="I28" s="27">
        <v>0.98</v>
      </c>
    </row>
    <row r="29" ht="15.75" customHeight="1">
      <c r="B29" s="24">
        <f>EDATE(N($C$15),8)</f>
        <v>46266</v>
      </c>
      <c r="C29" s="25">
        <v>68000.0</v>
      </c>
      <c r="D29" s="25">
        <v>3515000.0</v>
      </c>
      <c r="E29" s="25">
        <v>205000.0</v>
      </c>
      <c r="F29" s="25">
        <v>0.0</v>
      </c>
      <c r="G29" s="26">
        <v>45.0</v>
      </c>
      <c r="H29" s="26">
        <v>13.0</v>
      </c>
      <c r="I29" s="27">
        <v>1.01</v>
      </c>
    </row>
    <row r="30" ht="15.75" customHeight="1">
      <c r="B30" s="24">
        <f>EDATE(N($C$15),9)</f>
        <v>46296</v>
      </c>
      <c r="C30" s="25"/>
      <c r="D30" s="25"/>
      <c r="E30" s="25"/>
      <c r="F30" s="25"/>
      <c r="G30" s="26"/>
      <c r="H30" s="26"/>
      <c r="I30" s="27"/>
    </row>
    <row r="31" ht="15.75" customHeight="1">
      <c r="B31" s="24">
        <f>EDATE(N($C$15),10)</f>
        <v>46327</v>
      </c>
      <c r="C31" s="25"/>
      <c r="D31" s="25"/>
      <c r="E31" s="25"/>
      <c r="F31" s="25"/>
      <c r="G31" s="26"/>
      <c r="H31" s="26"/>
      <c r="I31" s="27"/>
    </row>
    <row r="32" ht="15.75" customHeight="1">
      <c r="B32" s="24">
        <f>EDATE(N($C$15),11)</f>
        <v>46357</v>
      </c>
      <c r="C32" s="25"/>
      <c r="D32" s="25"/>
      <c r="E32" s="25"/>
      <c r="F32" s="25"/>
      <c r="G32" s="26"/>
      <c r="H32" s="26"/>
      <c r="I32" s="27"/>
    </row>
    <row r="33" ht="15.75" customHeight="1">
      <c r="B33" s="24">
        <f>EDATE(N($C$15),12)</f>
        <v>46388</v>
      </c>
      <c r="C33" s="25"/>
      <c r="D33" s="25"/>
      <c r="E33" s="25"/>
      <c r="F33" s="25"/>
      <c r="G33" s="26"/>
      <c r="H33" s="26"/>
      <c r="I33" s="27"/>
    </row>
    <row r="34" ht="15.75" customHeight="1">
      <c r="B34" s="24">
        <f>EDATE(N($C$15),13)</f>
        <v>46419</v>
      </c>
      <c r="C34" s="25"/>
      <c r="D34" s="25"/>
      <c r="E34" s="25"/>
      <c r="F34" s="25"/>
      <c r="G34" s="26"/>
      <c r="H34" s="26"/>
      <c r="I34" s="27"/>
    </row>
    <row r="35" ht="15.75" customHeight="1">
      <c r="B35" s="24">
        <f>EDATE(N($C$15),14)</f>
        <v>46447</v>
      </c>
      <c r="C35" s="25"/>
      <c r="D35" s="25"/>
      <c r="E35" s="25"/>
      <c r="F35" s="25"/>
      <c r="G35" s="26"/>
      <c r="H35" s="26"/>
      <c r="I35" s="27"/>
    </row>
    <row r="36" ht="15.75" customHeight="1">
      <c r="B36" s="24">
        <f>EDATE(N($C$15),15)</f>
        <v>46478</v>
      </c>
      <c r="C36" s="25"/>
      <c r="D36" s="25"/>
      <c r="E36" s="25"/>
      <c r="F36" s="25"/>
      <c r="G36" s="26"/>
      <c r="H36" s="26"/>
      <c r="I36" s="27"/>
    </row>
    <row r="37" ht="15.75" customHeight="1">
      <c r="B37" s="24">
        <f>EDATE(N($C$15),16)</f>
        <v>46508</v>
      </c>
      <c r="C37" s="25"/>
      <c r="D37" s="25"/>
      <c r="E37" s="25"/>
      <c r="F37" s="25"/>
      <c r="G37" s="26"/>
      <c r="H37" s="26"/>
      <c r="I37" s="27"/>
    </row>
    <row r="38" ht="15.75" customHeight="1">
      <c r="B38" s="24">
        <f>EDATE(N($C$15),17)</f>
        <v>46539</v>
      </c>
      <c r="C38" s="25"/>
      <c r="D38" s="25"/>
      <c r="E38" s="25"/>
      <c r="F38" s="25"/>
      <c r="G38" s="26"/>
      <c r="H38" s="26"/>
      <c r="I38" s="27"/>
    </row>
    <row r="39" ht="15.75" customHeight="1">
      <c r="B39" s="24">
        <f>EDATE(N($C$15),18)</f>
        <v>46569</v>
      </c>
      <c r="C39" s="25"/>
      <c r="D39" s="25"/>
      <c r="E39" s="25"/>
      <c r="F39" s="25"/>
      <c r="G39" s="26"/>
      <c r="H39" s="26"/>
      <c r="I39" s="27"/>
    </row>
    <row r="40" ht="15.75" customHeight="1">
      <c r="B40" s="24">
        <f>EDATE(N($C$15),19)</f>
        <v>46600</v>
      </c>
      <c r="C40" s="25"/>
      <c r="D40" s="25"/>
      <c r="E40" s="25"/>
      <c r="F40" s="25"/>
      <c r="G40" s="26"/>
      <c r="H40" s="26"/>
      <c r="I40" s="27"/>
    </row>
    <row r="41" ht="15.75" customHeight="1">
      <c r="B41" s="24">
        <f>EDATE(N($C$15),20)</f>
        <v>46631</v>
      </c>
      <c r="C41" s="25"/>
      <c r="D41" s="25"/>
      <c r="E41" s="25"/>
      <c r="F41" s="25"/>
      <c r="G41" s="26"/>
      <c r="H41" s="26"/>
      <c r="I41" s="27"/>
    </row>
    <row r="42" ht="15.75" customHeight="1">
      <c r="B42" s="24">
        <f>EDATE(N($C$15),21)</f>
        <v>46661</v>
      </c>
      <c r="C42" s="25"/>
      <c r="D42" s="25"/>
      <c r="E42" s="25"/>
      <c r="F42" s="25"/>
      <c r="G42" s="26"/>
      <c r="H42" s="26"/>
      <c r="I42" s="27"/>
    </row>
    <row r="43" ht="15.75" customHeight="1">
      <c r="B43" s="24">
        <f>EDATE(N($C$15),22)</f>
        <v>46692</v>
      </c>
      <c r="C43" s="25"/>
      <c r="D43" s="25"/>
      <c r="E43" s="25"/>
      <c r="F43" s="25"/>
      <c r="G43" s="26"/>
      <c r="H43" s="26"/>
      <c r="I43" s="27"/>
    </row>
    <row r="44" ht="15.75" customHeight="1">
      <c r="B44" s="24">
        <f>EDATE(N($C$15),23)</f>
        <v>46722</v>
      </c>
      <c r="C44" s="25"/>
      <c r="D44" s="25"/>
      <c r="E44" s="25"/>
      <c r="F44" s="25"/>
      <c r="G44" s="26"/>
      <c r="H44" s="26"/>
      <c r="I44" s="27"/>
    </row>
    <row r="45" ht="15.75" customHeight="1">
      <c r="B45" s="12" t="s">
        <v>79</v>
      </c>
    </row>
    <row r="46" ht="15.75" customHeight="1">
      <c r="B46" s="12" t="s">
        <v>80</v>
      </c>
    </row>
    <row r="47" ht="15.75" customHeight="1"/>
    <row r="48" ht="15.75" customHeight="1">
      <c r="A48" s="4" t="s">
        <v>81</v>
      </c>
      <c r="B48" s="2"/>
      <c r="C48" s="2"/>
      <c r="D48" s="2"/>
      <c r="E48" s="2"/>
      <c r="F48" s="2"/>
      <c r="G48" s="2"/>
      <c r="H48" s="2"/>
      <c r="I48" s="2"/>
    </row>
    <row r="49" ht="30.0" customHeight="1">
      <c r="B49" s="5" t="s">
        <v>82</v>
      </c>
      <c r="C49" s="32" t="s">
        <v>83</v>
      </c>
      <c r="D49" s="33"/>
      <c r="E49" s="33"/>
      <c r="F49" s="33"/>
      <c r="G49" s="33"/>
      <c r="H49" s="33"/>
      <c r="I49" s="34"/>
    </row>
    <row r="50" ht="30.0" customHeight="1">
      <c r="B50" s="5" t="s">
        <v>84</v>
      </c>
      <c r="C50" s="32" t="s">
        <v>85</v>
      </c>
      <c r="D50" s="33"/>
      <c r="E50" s="33"/>
      <c r="F50" s="33"/>
      <c r="G50" s="33"/>
      <c r="H50" s="33"/>
      <c r="I50" s="34"/>
    </row>
    <row r="51" ht="43.5" customHeight="1">
      <c r="B51" s="5" t="s">
        <v>86</v>
      </c>
      <c r="C51" s="32" t="s">
        <v>87</v>
      </c>
      <c r="D51" s="33"/>
      <c r="E51" s="33"/>
      <c r="F51" s="33"/>
      <c r="G51" s="33"/>
      <c r="H51" s="33"/>
      <c r="I51" s="34"/>
    </row>
    <row r="52" ht="30.0" customHeight="1">
      <c r="B52" s="5" t="s">
        <v>88</v>
      </c>
      <c r="C52" s="32" t="s">
        <v>89</v>
      </c>
      <c r="D52" s="33"/>
      <c r="E52" s="33"/>
      <c r="F52" s="33"/>
      <c r="G52" s="33"/>
      <c r="H52" s="33"/>
      <c r="I52" s="34"/>
    </row>
    <row r="53" ht="30.0" customHeight="1">
      <c r="B53" s="5" t="s">
        <v>90</v>
      </c>
      <c r="C53" s="32" t="s">
        <v>91</v>
      </c>
      <c r="D53" s="33"/>
      <c r="E53" s="33"/>
      <c r="F53" s="33"/>
      <c r="G53" s="33"/>
      <c r="H53" s="33"/>
      <c r="I53" s="34"/>
    </row>
    <row r="54" ht="30.0" customHeight="1">
      <c r="B54" s="5" t="s">
        <v>92</v>
      </c>
      <c r="C54" s="32"/>
      <c r="D54" s="33"/>
      <c r="E54" s="33"/>
      <c r="F54" s="33"/>
      <c r="G54" s="33"/>
      <c r="H54" s="33"/>
      <c r="I54" s="34"/>
    </row>
    <row r="55" ht="30.0" customHeight="1">
      <c r="B55" s="5" t="s">
        <v>93</v>
      </c>
      <c r="C55" s="32" t="s">
        <v>94</v>
      </c>
      <c r="D55" s="33"/>
      <c r="E55" s="33"/>
      <c r="F55" s="33"/>
      <c r="G55" s="33"/>
      <c r="H55" s="33"/>
      <c r="I55" s="34"/>
    </row>
    <row r="56" ht="30.0" customHeight="1">
      <c r="B56" s="5" t="s">
        <v>95</v>
      </c>
      <c r="C56" s="32" t="s">
        <v>96</v>
      </c>
      <c r="D56" s="33"/>
      <c r="E56" s="33"/>
      <c r="F56" s="33"/>
      <c r="G56" s="33"/>
      <c r="H56" s="33"/>
      <c r="I56" s="34"/>
    </row>
    <row r="57" ht="30.0" customHeight="1">
      <c r="B57" s="5" t="s">
        <v>97</v>
      </c>
      <c r="C57" s="32"/>
      <c r="D57" s="33"/>
      <c r="E57" s="33"/>
      <c r="F57" s="33"/>
      <c r="G57" s="33"/>
      <c r="H57" s="33"/>
      <c r="I57" s="34"/>
    </row>
    <row r="58" ht="30.0" customHeight="1">
      <c r="B58" s="5" t="s">
        <v>98</v>
      </c>
      <c r="C58" s="32" t="s">
        <v>99</v>
      </c>
      <c r="D58" s="33"/>
      <c r="E58" s="33"/>
      <c r="F58" s="33"/>
      <c r="G58" s="33"/>
      <c r="H58" s="33"/>
      <c r="I58" s="34"/>
    </row>
    <row r="59" ht="30.0" customHeight="1">
      <c r="B59" s="5" t="s">
        <v>100</v>
      </c>
      <c r="C59" s="32" t="s">
        <v>101</v>
      </c>
      <c r="D59" s="33"/>
      <c r="E59" s="33"/>
      <c r="F59" s="33"/>
      <c r="G59" s="33"/>
      <c r="H59" s="33"/>
      <c r="I59" s="34"/>
    </row>
    <row r="60" ht="30.0" customHeight="1">
      <c r="B60" s="5" t="s">
        <v>102</v>
      </c>
      <c r="C60" s="32"/>
      <c r="D60" s="33"/>
      <c r="E60" s="33"/>
      <c r="F60" s="33"/>
      <c r="G60" s="33"/>
      <c r="H60" s="33"/>
      <c r="I60" s="34"/>
    </row>
    <row r="61" ht="30.0" customHeight="1">
      <c r="B61" s="5" t="s">
        <v>103</v>
      </c>
      <c r="C61" s="32"/>
      <c r="D61" s="33"/>
      <c r="E61" s="33"/>
      <c r="F61" s="33"/>
      <c r="G61" s="33"/>
      <c r="H61" s="33"/>
      <c r="I61" s="34"/>
    </row>
    <row r="62" ht="30.0" customHeight="1">
      <c r="B62" s="5" t="s">
        <v>104</v>
      </c>
      <c r="C62" s="32" t="s">
        <v>105</v>
      </c>
      <c r="D62" s="33"/>
      <c r="E62" s="33"/>
      <c r="F62" s="33"/>
      <c r="G62" s="33"/>
      <c r="H62" s="33"/>
      <c r="I62" s="34"/>
    </row>
    <row r="63" ht="30.0" customHeight="1">
      <c r="B63" s="5" t="s">
        <v>106</v>
      </c>
      <c r="C63" s="32" t="s">
        <v>107</v>
      </c>
      <c r="D63" s="33"/>
      <c r="E63" s="33"/>
      <c r="F63" s="33"/>
      <c r="G63" s="33"/>
      <c r="H63" s="33"/>
      <c r="I63" s="34"/>
    </row>
    <row r="64" ht="30.0" customHeight="1">
      <c r="B64" s="5" t="s">
        <v>108</v>
      </c>
      <c r="C64" s="32" t="s">
        <v>109</v>
      </c>
      <c r="D64" s="33"/>
      <c r="E64" s="33"/>
      <c r="F64" s="33"/>
      <c r="G64" s="33"/>
      <c r="H64" s="33"/>
      <c r="I64" s="34"/>
    </row>
    <row r="65" ht="15.75" customHeight="1">
      <c r="B65" s="16" t="s">
        <v>110</v>
      </c>
      <c r="C65" s="20" t="s">
        <v>111</v>
      </c>
      <c r="D65" s="12" t="s">
        <v>112</v>
      </c>
    </row>
    <row r="66" ht="15.75" customHeight="1">
      <c r="B66" s="16" t="s">
        <v>113</v>
      </c>
      <c r="C66" s="20" t="s">
        <v>114</v>
      </c>
    </row>
    <row r="67" ht="30.0" customHeight="1">
      <c r="B67" s="5" t="s">
        <v>115</v>
      </c>
      <c r="C67" s="32"/>
      <c r="D67" s="33"/>
      <c r="E67" s="33"/>
      <c r="F67" s="33"/>
      <c r="G67" s="33"/>
      <c r="H67" s="33"/>
      <c r="I67" s="34"/>
    </row>
    <row r="68" ht="15.75" customHeight="1"/>
    <row r="69" ht="15.75" customHeight="1">
      <c r="A69" s="4" t="s">
        <v>116</v>
      </c>
      <c r="B69" s="2"/>
      <c r="C69" s="2"/>
      <c r="D69" s="2"/>
      <c r="E69" s="2"/>
      <c r="F69" s="2"/>
      <c r="G69" s="2"/>
      <c r="H69" s="2"/>
      <c r="I69" s="2"/>
    </row>
    <row r="70" ht="15.75" customHeight="1">
      <c r="B70" s="16" t="s">
        <v>117</v>
      </c>
      <c r="C70" s="36">
        <v>9.0</v>
      </c>
      <c r="D70" s="12" t="s">
        <v>118</v>
      </c>
    </row>
    <row r="71" ht="15.75" customHeight="1">
      <c r="B71" s="16" t="s">
        <v>119</v>
      </c>
      <c r="C71" s="36">
        <v>12.0</v>
      </c>
    </row>
    <row r="72" ht="15.75" customHeight="1">
      <c r="B72" s="16" t="s">
        <v>120</v>
      </c>
      <c r="C72" s="25">
        <v>1000.0</v>
      </c>
      <c r="D72" s="12" t="s">
        <v>121</v>
      </c>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9:I9"/>
    <mergeCell ref="C49:I49"/>
    <mergeCell ref="C50:I50"/>
    <mergeCell ref="C51:I51"/>
    <mergeCell ref="C52:I52"/>
    <mergeCell ref="C53:I53"/>
    <mergeCell ref="C54:I54"/>
    <mergeCell ref="C62:I62"/>
    <mergeCell ref="C63:I63"/>
    <mergeCell ref="C64:I64"/>
    <mergeCell ref="C67:I67"/>
    <mergeCell ref="C55:I55"/>
    <mergeCell ref="C56:I56"/>
    <mergeCell ref="C57:I57"/>
    <mergeCell ref="C58:I58"/>
    <mergeCell ref="C59:I59"/>
    <mergeCell ref="C60:I60"/>
    <mergeCell ref="C61:I61"/>
  </mergeCells>
  <dataValidations>
    <dataValidation type="list" allowBlank="1" sqref="C66">
      <formula1>"Not raising,Raising in 6 to 12 months,Raising now,Just closed a round"</formula1>
    </dataValidation>
    <dataValidation type="list" allowBlank="1" sqref="C17">
      <formula1>"Percent,Number,Dollars"</formula1>
    </dataValidation>
    <dataValidation type="list" allowBlank="1" sqref="C65">
      <formula1>"Yes,No"</formula1>
    </dataValidation>
  </dataValidation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8.0"/>
    <col customWidth="1" min="3" max="3" width="12.0"/>
    <col customWidth="1" min="4" max="9" width="14.0"/>
    <col customWidth="1" min="10" max="13" width="10.0"/>
    <col customWidth="1" min="14" max="14" width="12.0"/>
    <col customWidth="1" min="15" max="26" width="8.71"/>
  </cols>
  <sheetData>
    <row r="1" ht="30.0" customHeight="1">
      <c r="A1" s="1" t="s">
        <v>33</v>
      </c>
      <c r="B1" s="2"/>
      <c r="C1" s="2"/>
      <c r="D1" s="2"/>
      <c r="E1" s="2"/>
      <c r="F1" s="2"/>
      <c r="G1" s="2"/>
      <c r="H1" s="2"/>
      <c r="I1" s="2"/>
      <c r="J1" s="2"/>
      <c r="K1" s="2"/>
      <c r="L1" s="2"/>
      <c r="M1" s="2"/>
      <c r="N1" s="2"/>
    </row>
    <row r="2">
      <c r="A2" s="3" t="s">
        <v>35</v>
      </c>
    </row>
    <row r="4">
      <c r="A4" s="4" t="s">
        <v>45</v>
      </c>
      <c r="B4" s="2"/>
      <c r="C4" s="2"/>
      <c r="D4" s="2"/>
      <c r="E4" s="2"/>
      <c r="F4" s="2"/>
      <c r="G4" s="2"/>
      <c r="H4" s="2"/>
      <c r="I4" s="2"/>
      <c r="J4" s="2"/>
      <c r="K4" s="2"/>
      <c r="L4" s="2"/>
      <c r="M4" s="2"/>
      <c r="N4" s="2"/>
    </row>
    <row r="5">
      <c r="B5" s="21" t="s">
        <v>52</v>
      </c>
      <c r="C5" s="21" t="s">
        <v>54</v>
      </c>
      <c r="D5" s="21" t="s">
        <v>55</v>
      </c>
      <c r="E5" s="21" t="s">
        <v>56</v>
      </c>
      <c r="F5" s="21" t="s">
        <v>57</v>
      </c>
      <c r="G5" s="21" t="s">
        <v>58</v>
      </c>
      <c r="H5" s="21" t="s">
        <v>60</v>
      </c>
      <c r="I5" s="21" t="s">
        <v>62</v>
      </c>
      <c r="J5" s="21" t="s">
        <v>64</v>
      </c>
      <c r="K5" s="21" t="s">
        <v>66</v>
      </c>
      <c r="L5" s="21" t="s">
        <v>68</v>
      </c>
      <c r="M5" s="21" t="s">
        <v>70</v>
      </c>
      <c r="N5" s="21" t="s">
        <v>72</v>
      </c>
    </row>
    <row r="6">
      <c r="B6" s="22">
        <v>1.0</v>
      </c>
      <c r="C6" s="24">
        <f t="array" ref="C6">INDIRECT("'01 Inputs'!B21")</f>
        <v>46023</v>
      </c>
      <c r="D6" s="28">
        <f t="array" ref="D6">N(INDIRECT("'01 Inputs'!C21"))</f>
        <v>50000</v>
      </c>
      <c r="E6" s="28">
        <f t="array" ref="E6">N(INDIRECT("'01 Inputs'!D21"))</f>
        <v>800000</v>
      </c>
      <c r="F6" s="28">
        <f t="array" ref="F6">N(INDIRECT("'01 Inputs'!E21"))</f>
        <v>90000</v>
      </c>
      <c r="G6" s="28">
        <f t="array" ref="G6">N(INDIRECT("'01 Inputs'!F21"))</f>
        <v>0</v>
      </c>
      <c r="H6" s="28" t="str">
        <f>""</f>
        <v/>
      </c>
      <c r="I6" s="28">
        <f t="shared" ref="I6:I29" si="1">IF(H6="",0,E6-H6)</f>
        <v>0</v>
      </c>
      <c r="J6" s="22">
        <f t="array" ref="J6">IF(AND(ISNUMBER(INDIRECT("'01 Inputs'!C21")),ISNUMBER(INDIRECT("'01 Inputs'!D21")),ISNUMBER(INDIRECT("'01 Inputs'!E21"))),1,0)</f>
        <v>1</v>
      </c>
      <c r="K6" s="22">
        <f t="array" ref="K6">IF(ISNUMBER(INDIRECT("'01 Inputs'!G21")),1,0)</f>
        <v>1</v>
      </c>
      <c r="L6" s="22">
        <f t="array" ref="L6">IF(ISNUMBER(INDIRECT("'01 Inputs'!H21")),1,0)</f>
        <v>1</v>
      </c>
      <c r="M6" s="22">
        <f t="array" ref="M6">IF(ISNUMBER(INDIRECT("'01 Inputs'!I21")),1,0)</f>
        <v>1</v>
      </c>
      <c r="N6" s="28">
        <f t="shared" ref="N6:N29" si="2">ABS(I6)</f>
        <v>0</v>
      </c>
    </row>
    <row r="7">
      <c r="B7" s="22">
        <v>2.0</v>
      </c>
      <c r="C7" s="24">
        <f t="array" ref="C7">INDIRECT("'01 Inputs'!B22")</f>
        <v>46054</v>
      </c>
      <c r="D7" s="28">
        <f t="array" ref="D7">N(INDIRECT("'01 Inputs'!C22"))</f>
        <v>52000</v>
      </c>
      <c r="E7" s="28">
        <f t="array" ref="E7">N(INDIRECT("'01 Inputs'!D22"))</f>
        <v>4690000</v>
      </c>
      <c r="F7" s="28">
        <f t="array" ref="F7">N(INDIRECT("'01 Inputs'!E22"))</f>
        <v>110000</v>
      </c>
      <c r="G7" s="28">
        <f t="array" ref="G7">N(INDIRECT("'01 Inputs'!F22"))</f>
        <v>4000000</v>
      </c>
      <c r="H7" s="28">
        <f t="shared" ref="H7:H29" si="3">IF(AND(J7=1,J6=1),E6-F7+G7,"")</f>
        <v>4690000</v>
      </c>
      <c r="I7" s="28">
        <f t="shared" si="1"/>
        <v>0</v>
      </c>
      <c r="J7" s="22">
        <f t="array" ref="J7">IF(AND(ISNUMBER(INDIRECT("'01 Inputs'!C22")),ISNUMBER(INDIRECT("'01 Inputs'!D22")),ISNUMBER(INDIRECT("'01 Inputs'!E22"))),1,0)</f>
        <v>1</v>
      </c>
      <c r="K7" s="22">
        <f t="array" ref="K7">IF(ISNUMBER(INDIRECT("'01 Inputs'!G22")),1,0)</f>
        <v>1</v>
      </c>
      <c r="L7" s="22">
        <f t="array" ref="L7">IF(ISNUMBER(INDIRECT("'01 Inputs'!H22")),1,0)</f>
        <v>1</v>
      </c>
      <c r="M7" s="22">
        <f t="array" ref="M7">IF(ISNUMBER(INDIRECT("'01 Inputs'!I22")),1,0)</f>
        <v>1</v>
      </c>
      <c r="N7" s="28">
        <f t="shared" si="2"/>
        <v>0</v>
      </c>
    </row>
    <row r="8">
      <c r="B8" s="22">
        <v>3.0</v>
      </c>
      <c r="C8" s="24">
        <f t="array" ref="C8">INDIRECT("'01 Inputs'!B23")</f>
        <v>46082</v>
      </c>
      <c r="D8" s="28">
        <f t="array" ref="D8">N(INDIRECT("'01 Inputs'!C23"))</f>
        <v>54000</v>
      </c>
      <c r="E8" s="28">
        <f t="array" ref="E8">N(INDIRECT("'01 Inputs'!D23"))</f>
        <v>4565000</v>
      </c>
      <c r="F8" s="28">
        <f t="array" ref="F8">N(INDIRECT("'01 Inputs'!E23"))</f>
        <v>125000</v>
      </c>
      <c r="G8" s="28">
        <f t="array" ref="G8">N(INDIRECT("'01 Inputs'!F23"))</f>
        <v>0</v>
      </c>
      <c r="H8" s="28">
        <f t="shared" si="3"/>
        <v>4565000</v>
      </c>
      <c r="I8" s="28">
        <f t="shared" si="1"/>
        <v>0</v>
      </c>
      <c r="J8" s="22">
        <f t="array" ref="J8">IF(AND(ISNUMBER(INDIRECT("'01 Inputs'!C23")),ISNUMBER(INDIRECT("'01 Inputs'!D23")),ISNUMBER(INDIRECT("'01 Inputs'!E23"))),1,0)</f>
        <v>1</v>
      </c>
      <c r="K8" s="22">
        <f t="array" ref="K8">IF(ISNUMBER(INDIRECT("'01 Inputs'!G23")),1,0)</f>
        <v>1</v>
      </c>
      <c r="L8" s="22">
        <f t="array" ref="L8">IF(ISNUMBER(INDIRECT("'01 Inputs'!H23")),1,0)</f>
        <v>1</v>
      </c>
      <c r="M8" s="22">
        <f t="array" ref="M8">IF(ISNUMBER(INDIRECT("'01 Inputs'!I23")),1,0)</f>
        <v>1</v>
      </c>
      <c r="N8" s="28">
        <f t="shared" si="2"/>
        <v>0</v>
      </c>
    </row>
    <row r="9">
      <c r="B9" s="22">
        <v>4.0</v>
      </c>
      <c r="C9" s="24">
        <f t="array" ref="C9">INDIRECT("'01 Inputs'!B24")</f>
        <v>46113</v>
      </c>
      <c r="D9" s="28">
        <f t="array" ref="D9">N(INDIRECT("'01 Inputs'!C24"))</f>
        <v>56500</v>
      </c>
      <c r="E9" s="28">
        <f t="array" ref="E9">N(INDIRECT("'01 Inputs'!D24"))</f>
        <v>4425000</v>
      </c>
      <c r="F9" s="28">
        <f t="array" ref="F9">N(INDIRECT("'01 Inputs'!E24"))</f>
        <v>140000</v>
      </c>
      <c r="G9" s="28">
        <f t="array" ref="G9">N(INDIRECT("'01 Inputs'!F24"))</f>
        <v>0</v>
      </c>
      <c r="H9" s="28">
        <f t="shared" si="3"/>
        <v>4425000</v>
      </c>
      <c r="I9" s="28">
        <f t="shared" si="1"/>
        <v>0</v>
      </c>
      <c r="J9" s="22">
        <f t="array" ref="J9">IF(AND(ISNUMBER(INDIRECT("'01 Inputs'!C24")),ISNUMBER(INDIRECT("'01 Inputs'!D24")),ISNUMBER(INDIRECT("'01 Inputs'!E24"))),1,0)</f>
        <v>1</v>
      </c>
      <c r="K9" s="22">
        <f t="array" ref="K9">IF(ISNUMBER(INDIRECT("'01 Inputs'!G24")),1,0)</f>
        <v>1</v>
      </c>
      <c r="L9" s="22">
        <f t="array" ref="L9">IF(ISNUMBER(INDIRECT("'01 Inputs'!H24")),1,0)</f>
        <v>1</v>
      </c>
      <c r="M9" s="22">
        <f t="array" ref="M9">IF(ISNUMBER(INDIRECT("'01 Inputs'!I24")),1,0)</f>
        <v>1</v>
      </c>
      <c r="N9" s="28">
        <f t="shared" si="2"/>
        <v>0</v>
      </c>
    </row>
    <row r="10">
      <c r="B10" s="22">
        <v>5.0</v>
      </c>
      <c r="C10" s="24">
        <f t="array" ref="C10">INDIRECT("'01 Inputs'!B25")</f>
        <v>46143</v>
      </c>
      <c r="D10" s="28">
        <f t="array" ref="D10">N(INDIRECT("'01 Inputs'!C25"))</f>
        <v>58500</v>
      </c>
      <c r="E10" s="28">
        <f t="array" ref="E10">N(INDIRECT("'01 Inputs'!D25"))</f>
        <v>4270000</v>
      </c>
      <c r="F10" s="28">
        <f t="array" ref="F10">N(INDIRECT("'01 Inputs'!E25"))</f>
        <v>155000</v>
      </c>
      <c r="G10" s="28">
        <f t="array" ref="G10">N(INDIRECT("'01 Inputs'!F25"))</f>
        <v>0</v>
      </c>
      <c r="H10" s="28">
        <f t="shared" si="3"/>
        <v>4270000</v>
      </c>
      <c r="I10" s="28">
        <f t="shared" si="1"/>
        <v>0</v>
      </c>
      <c r="J10" s="22">
        <f t="array" ref="J10">IF(AND(ISNUMBER(INDIRECT("'01 Inputs'!C25")),ISNUMBER(INDIRECT("'01 Inputs'!D25")),ISNUMBER(INDIRECT("'01 Inputs'!E25"))),1,0)</f>
        <v>1</v>
      </c>
      <c r="K10" s="22">
        <f t="array" ref="K10">IF(ISNUMBER(INDIRECT("'01 Inputs'!G25")),1,0)</f>
        <v>1</v>
      </c>
      <c r="L10" s="22">
        <f t="array" ref="L10">IF(ISNUMBER(INDIRECT("'01 Inputs'!H25")),1,0)</f>
        <v>1</v>
      </c>
      <c r="M10" s="22">
        <f t="array" ref="M10">IF(ISNUMBER(INDIRECT("'01 Inputs'!I25")),1,0)</f>
        <v>1</v>
      </c>
      <c r="N10" s="28">
        <f t="shared" si="2"/>
        <v>0</v>
      </c>
    </row>
    <row r="11">
      <c r="B11" s="22">
        <v>6.0</v>
      </c>
      <c r="C11" s="24">
        <f t="array" ref="C11">INDIRECT("'01 Inputs'!B26")</f>
        <v>46174</v>
      </c>
      <c r="D11" s="28">
        <f t="array" ref="D11">N(INDIRECT("'01 Inputs'!C26"))</f>
        <v>61000</v>
      </c>
      <c r="E11" s="28">
        <f t="array" ref="E11">N(INDIRECT("'01 Inputs'!D26"))</f>
        <v>4100000</v>
      </c>
      <c r="F11" s="28">
        <f t="array" ref="F11">N(INDIRECT("'01 Inputs'!E26"))</f>
        <v>170000</v>
      </c>
      <c r="G11" s="28">
        <f t="array" ref="G11">N(INDIRECT("'01 Inputs'!F26"))</f>
        <v>0</v>
      </c>
      <c r="H11" s="28">
        <f t="shared" si="3"/>
        <v>4100000</v>
      </c>
      <c r="I11" s="28">
        <f t="shared" si="1"/>
        <v>0</v>
      </c>
      <c r="J11" s="22">
        <f t="array" ref="J11">IF(AND(ISNUMBER(INDIRECT("'01 Inputs'!C26")),ISNUMBER(INDIRECT("'01 Inputs'!D26")),ISNUMBER(INDIRECT("'01 Inputs'!E26"))),1,0)</f>
        <v>1</v>
      </c>
      <c r="K11" s="22">
        <f t="array" ref="K11">IF(ISNUMBER(INDIRECT("'01 Inputs'!G26")),1,0)</f>
        <v>1</v>
      </c>
      <c r="L11" s="22">
        <f t="array" ref="L11">IF(ISNUMBER(INDIRECT("'01 Inputs'!H26")),1,0)</f>
        <v>1</v>
      </c>
      <c r="M11" s="22">
        <f t="array" ref="M11">IF(ISNUMBER(INDIRECT("'01 Inputs'!I26")),1,0)</f>
        <v>1</v>
      </c>
      <c r="N11" s="28">
        <f t="shared" si="2"/>
        <v>0</v>
      </c>
    </row>
    <row r="12">
      <c r="B12" s="22">
        <v>7.0</v>
      </c>
      <c r="C12" s="24">
        <f t="array" ref="C12">INDIRECT("'01 Inputs'!B27")</f>
        <v>46204</v>
      </c>
      <c r="D12" s="28">
        <f t="array" ref="D12">N(INDIRECT("'01 Inputs'!C27"))</f>
        <v>63000</v>
      </c>
      <c r="E12" s="28">
        <f t="array" ref="E12">N(INDIRECT("'01 Inputs'!D27"))</f>
        <v>3915000</v>
      </c>
      <c r="F12" s="28">
        <f t="array" ref="F12">N(INDIRECT("'01 Inputs'!E27"))</f>
        <v>185000</v>
      </c>
      <c r="G12" s="28">
        <f t="array" ref="G12">N(INDIRECT("'01 Inputs'!F27"))</f>
        <v>0</v>
      </c>
      <c r="H12" s="28">
        <f t="shared" si="3"/>
        <v>3915000</v>
      </c>
      <c r="I12" s="28">
        <f t="shared" si="1"/>
        <v>0</v>
      </c>
      <c r="J12" s="22">
        <f t="array" ref="J12">IF(AND(ISNUMBER(INDIRECT("'01 Inputs'!C27")),ISNUMBER(INDIRECT("'01 Inputs'!D27")),ISNUMBER(INDIRECT("'01 Inputs'!E27"))),1,0)</f>
        <v>1</v>
      </c>
      <c r="K12" s="22">
        <f t="array" ref="K12">IF(ISNUMBER(INDIRECT("'01 Inputs'!G27")),1,0)</f>
        <v>1</v>
      </c>
      <c r="L12" s="22">
        <f t="array" ref="L12">IF(ISNUMBER(INDIRECT("'01 Inputs'!H27")),1,0)</f>
        <v>1</v>
      </c>
      <c r="M12" s="22">
        <f t="array" ref="M12">IF(ISNUMBER(INDIRECT("'01 Inputs'!I27")),1,0)</f>
        <v>1</v>
      </c>
      <c r="N12" s="28">
        <f t="shared" si="2"/>
        <v>0</v>
      </c>
    </row>
    <row r="13">
      <c r="B13" s="22">
        <v>8.0</v>
      </c>
      <c r="C13" s="24">
        <f t="array" ref="C13">INDIRECT("'01 Inputs'!B28")</f>
        <v>46235</v>
      </c>
      <c r="D13" s="28">
        <f t="array" ref="D13">N(INDIRECT("'01 Inputs'!C28"))</f>
        <v>65500</v>
      </c>
      <c r="E13" s="28">
        <f t="array" ref="E13">N(INDIRECT("'01 Inputs'!D28"))</f>
        <v>3720000</v>
      </c>
      <c r="F13" s="28">
        <f t="array" ref="F13">N(INDIRECT("'01 Inputs'!E28"))</f>
        <v>195000</v>
      </c>
      <c r="G13" s="28">
        <f t="array" ref="G13">N(INDIRECT("'01 Inputs'!F28"))</f>
        <v>0</v>
      </c>
      <c r="H13" s="28">
        <f t="shared" si="3"/>
        <v>3720000</v>
      </c>
      <c r="I13" s="28">
        <f t="shared" si="1"/>
        <v>0</v>
      </c>
      <c r="J13" s="22">
        <f t="array" ref="J13">IF(AND(ISNUMBER(INDIRECT("'01 Inputs'!C28")),ISNUMBER(INDIRECT("'01 Inputs'!D28")),ISNUMBER(INDIRECT("'01 Inputs'!E28"))),1,0)</f>
        <v>1</v>
      </c>
      <c r="K13" s="22">
        <f t="array" ref="K13">IF(ISNUMBER(INDIRECT("'01 Inputs'!G28")),1,0)</f>
        <v>1</v>
      </c>
      <c r="L13" s="22">
        <f t="array" ref="L13">IF(ISNUMBER(INDIRECT("'01 Inputs'!H28")),1,0)</f>
        <v>1</v>
      </c>
      <c r="M13" s="22">
        <f t="array" ref="M13">IF(ISNUMBER(INDIRECT("'01 Inputs'!I28")),1,0)</f>
        <v>1</v>
      </c>
      <c r="N13" s="28">
        <f t="shared" si="2"/>
        <v>0</v>
      </c>
    </row>
    <row r="14">
      <c r="B14" s="22">
        <v>9.0</v>
      </c>
      <c r="C14" s="24">
        <f t="array" ref="C14">INDIRECT("'01 Inputs'!B29")</f>
        <v>46266</v>
      </c>
      <c r="D14" s="28">
        <f t="array" ref="D14">N(INDIRECT("'01 Inputs'!C29"))</f>
        <v>68000</v>
      </c>
      <c r="E14" s="28">
        <f t="array" ref="E14">N(INDIRECT("'01 Inputs'!D29"))</f>
        <v>3515000</v>
      </c>
      <c r="F14" s="28">
        <f t="array" ref="F14">N(INDIRECT("'01 Inputs'!E29"))</f>
        <v>205000</v>
      </c>
      <c r="G14" s="28">
        <f t="array" ref="G14">N(INDIRECT("'01 Inputs'!F29"))</f>
        <v>0</v>
      </c>
      <c r="H14" s="28">
        <f t="shared" si="3"/>
        <v>3515000</v>
      </c>
      <c r="I14" s="28">
        <f t="shared" si="1"/>
        <v>0</v>
      </c>
      <c r="J14" s="22">
        <f t="array" ref="J14">IF(AND(ISNUMBER(INDIRECT("'01 Inputs'!C29")),ISNUMBER(INDIRECT("'01 Inputs'!D29")),ISNUMBER(INDIRECT("'01 Inputs'!E29"))),1,0)</f>
        <v>1</v>
      </c>
      <c r="K14" s="22">
        <f t="array" ref="K14">IF(ISNUMBER(INDIRECT("'01 Inputs'!G29")),1,0)</f>
        <v>1</v>
      </c>
      <c r="L14" s="22">
        <f t="array" ref="L14">IF(ISNUMBER(INDIRECT("'01 Inputs'!H29")),1,0)</f>
        <v>1</v>
      </c>
      <c r="M14" s="22">
        <f t="array" ref="M14">IF(ISNUMBER(INDIRECT("'01 Inputs'!I29")),1,0)</f>
        <v>1</v>
      </c>
      <c r="N14" s="28">
        <f t="shared" si="2"/>
        <v>0</v>
      </c>
    </row>
    <row r="15">
      <c r="B15" s="22">
        <v>10.0</v>
      </c>
      <c r="C15" s="24">
        <f t="array" ref="C15">INDIRECT("'01 Inputs'!B30")</f>
        <v>46296</v>
      </c>
      <c r="D15" s="28">
        <f t="array" ref="D15">N(INDIRECT("'01 Inputs'!C30"))</f>
        <v>0</v>
      </c>
      <c r="E15" s="28">
        <f t="array" ref="E15">N(INDIRECT("'01 Inputs'!D30"))</f>
        <v>0</v>
      </c>
      <c r="F15" s="28">
        <f t="array" ref="F15">N(INDIRECT("'01 Inputs'!E30"))</f>
        <v>0</v>
      </c>
      <c r="G15" s="28">
        <f t="array" ref="G15">N(INDIRECT("'01 Inputs'!F30"))</f>
        <v>0</v>
      </c>
      <c r="H15" s="28" t="str">
        <f t="shared" si="3"/>
        <v/>
      </c>
      <c r="I15" s="28">
        <f t="shared" si="1"/>
        <v>0</v>
      </c>
      <c r="J15" s="22">
        <f t="array" ref="J15">IF(AND(ISNUMBER(INDIRECT("'01 Inputs'!C30")),ISNUMBER(INDIRECT("'01 Inputs'!D30")),ISNUMBER(INDIRECT("'01 Inputs'!E30"))),1,0)</f>
        <v>0</v>
      </c>
      <c r="K15" s="22">
        <f t="array" ref="K15">IF(ISNUMBER(INDIRECT("'01 Inputs'!G30")),1,0)</f>
        <v>0</v>
      </c>
      <c r="L15" s="22">
        <f t="array" ref="L15">IF(ISNUMBER(INDIRECT("'01 Inputs'!H30")),1,0)</f>
        <v>0</v>
      </c>
      <c r="M15" s="22">
        <f t="array" ref="M15">IF(ISNUMBER(INDIRECT("'01 Inputs'!I30")),1,0)</f>
        <v>0</v>
      </c>
      <c r="N15" s="28">
        <f t="shared" si="2"/>
        <v>0</v>
      </c>
    </row>
    <row r="16">
      <c r="B16" s="22">
        <v>11.0</v>
      </c>
      <c r="C16" s="24">
        <f t="array" ref="C16">INDIRECT("'01 Inputs'!B31")</f>
        <v>46327</v>
      </c>
      <c r="D16" s="28">
        <f t="array" ref="D16">N(INDIRECT("'01 Inputs'!C31"))</f>
        <v>0</v>
      </c>
      <c r="E16" s="28">
        <f t="array" ref="E16">N(INDIRECT("'01 Inputs'!D31"))</f>
        <v>0</v>
      </c>
      <c r="F16" s="28">
        <f t="array" ref="F16">N(INDIRECT("'01 Inputs'!E31"))</f>
        <v>0</v>
      </c>
      <c r="G16" s="28">
        <f t="array" ref="G16">N(INDIRECT("'01 Inputs'!F31"))</f>
        <v>0</v>
      </c>
      <c r="H16" s="28" t="str">
        <f t="shared" si="3"/>
        <v/>
      </c>
      <c r="I16" s="28">
        <f t="shared" si="1"/>
        <v>0</v>
      </c>
      <c r="J16" s="22">
        <f t="array" ref="J16">IF(AND(ISNUMBER(INDIRECT("'01 Inputs'!C31")),ISNUMBER(INDIRECT("'01 Inputs'!D31")),ISNUMBER(INDIRECT("'01 Inputs'!E31"))),1,0)</f>
        <v>0</v>
      </c>
      <c r="K16" s="22">
        <f t="array" ref="K16">IF(ISNUMBER(INDIRECT("'01 Inputs'!G31")),1,0)</f>
        <v>0</v>
      </c>
      <c r="L16" s="22">
        <f t="array" ref="L16">IF(ISNUMBER(INDIRECT("'01 Inputs'!H31")),1,0)</f>
        <v>0</v>
      </c>
      <c r="M16" s="22">
        <f t="array" ref="M16">IF(ISNUMBER(INDIRECT("'01 Inputs'!I31")),1,0)</f>
        <v>0</v>
      </c>
      <c r="N16" s="28">
        <f t="shared" si="2"/>
        <v>0</v>
      </c>
    </row>
    <row r="17">
      <c r="B17" s="22">
        <v>12.0</v>
      </c>
      <c r="C17" s="24">
        <f t="array" ref="C17">INDIRECT("'01 Inputs'!B32")</f>
        <v>46357</v>
      </c>
      <c r="D17" s="28">
        <f t="array" ref="D17">N(INDIRECT("'01 Inputs'!C32"))</f>
        <v>0</v>
      </c>
      <c r="E17" s="28">
        <f t="array" ref="E17">N(INDIRECT("'01 Inputs'!D32"))</f>
        <v>0</v>
      </c>
      <c r="F17" s="28">
        <f t="array" ref="F17">N(INDIRECT("'01 Inputs'!E32"))</f>
        <v>0</v>
      </c>
      <c r="G17" s="28">
        <f t="array" ref="G17">N(INDIRECT("'01 Inputs'!F32"))</f>
        <v>0</v>
      </c>
      <c r="H17" s="28" t="str">
        <f t="shared" si="3"/>
        <v/>
      </c>
      <c r="I17" s="28">
        <f t="shared" si="1"/>
        <v>0</v>
      </c>
      <c r="J17" s="22">
        <f t="array" ref="J17">IF(AND(ISNUMBER(INDIRECT("'01 Inputs'!C32")),ISNUMBER(INDIRECT("'01 Inputs'!D32")),ISNUMBER(INDIRECT("'01 Inputs'!E32"))),1,0)</f>
        <v>0</v>
      </c>
      <c r="K17" s="22">
        <f t="array" ref="K17">IF(ISNUMBER(INDIRECT("'01 Inputs'!G32")),1,0)</f>
        <v>0</v>
      </c>
      <c r="L17" s="22">
        <f t="array" ref="L17">IF(ISNUMBER(INDIRECT("'01 Inputs'!H32")),1,0)</f>
        <v>0</v>
      </c>
      <c r="M17" s="22">
        <f t="array" ref="M17">IF(ISNUMBER(INDIRECT("'01 Inputs'!I32")),1,0)</f>
        <v>0</v>
      </c>
      <c r="N17" s="28">
        <f t="shared" si="2"/>
        <v>0</v>
      </c>
    </row>
    <row r="18">
      <c r="B18" s="22">
        <v>13.0</v>
      </c>
      <c r="C18" s="24">
        <f t="array" ref="C18">INDIRECT("'01 Inputs'!B33")</f>
        <v>46388</v>
      </c>
      <c r="D18" s="28">
        <f t="array" ref="D18">N(INDIRECT("'01 Inputs'!C33"))</f>
        <v>0</v>
      </c>
      <c r="E18" s="28">
        <f t="array" ref="E18">N(INDIRECT("'01 Inputs'!D33"))</f>
        <v>0</v>
      </c>
      <c r="F18" s="28">
        <f t="array" ref="F18">N(INDIRECT("'01 Inputs'!E33"))</f>
        <v>0</v>
      </c>
      <c r="G18" s="28">
        <f t="array" ref="G18">N(INDIRECT("'01 Inputs'!F33"))</f>
        <v>0</v>
      </c>
      <c r="H18" s="28" t="str">
        <f t="shared" si="3"/>
        <v/>
      </c>
      <c r="I18" s="28">
        <f t="shared" si="1"/>
        <v>0</v>
      </c>
      <c r="J18" s="22">
        <f t="array" ref="J18">IF(AND(ISNUMBER(INDIRECT("'01 Inputs'!C33")),ISNUMBER(INDIRECT("'01 Inputs'!D33")),ISNUMBER(INDIRECT("'01 Inputs'!E33"))),1,0)</f>
        <v>0</v>
      </c>
      <c r="K18" s="22">
        <f t="array" ref="K18">IF(ISNUMBER(INDIRECT("'01 Inputs'!G33")),1,0)</f>
        <v>0</v>
      </c>
      <c r="L18" s="22">
        <f t="array" ref="L18">IF(ISNUMBER(INDIRECT("'01 Inputs'!H33")),1,0)</f>
        <v>0</v>
      </c>
      <c r="M18" s="22">
        <f t="array" ref="M18">IF(ISNUMBER(INDIRECT("'01 Inputs'!I33")),1,0)</f>
        <v>0</v>
      </c>
      <c r="N18" s="28">
        <f t="shared" si="2"/>
        <v>0</v>
      </c>
    </row>
    <row r="19">
      <c r="B19" s="22">
        <v>14.0</v>
      </c>
      <c r="C19" s="24">
        <f t="array" ref="C19">INDIRECT("'01 Inputs'!B34")</f>
        <v>46419</v>
      </c>
      <c r="D19" s="28">
        <f t="array" ref="D19">N(INDIRECT("'01 Inputs'!C34"))</f>
        <v>0</v>
      </c>
      <c r="E19" s="28">
        <f t="array" ref="E19">N(INDIRECT("'01 Inputs'!D34"))</f>
        <v>0</v>
      </c>
      <c r="F19" s="28">
        <f t="array" ref="F19">N(INDIRECT("'01 Inputs'!E34"))</f>
        <v>0</v>
      </c>
      <c r="G19" s="28">
        <f t="array" ref="G19">N(INDIRECT("'01 Inputs'!F34"))</f>
        <v>0</v>
      </c>
      <c r="H19" s="28" t="str">
        <f t="shared" si="3"/>
        <v/>
      </c>
      <c r="I19" s="28">
        <f t="shared" si="1"/>
        <v>0</v>
      </c>
      <c r="J19" s="22">
        <f t="array" ref="J19">IF(AND(ISNUMBER(INDIRECT("'01 Inputs'!C34")),ISNUMBER(INDIRECT("'01 Inputs'!D34")),ISNUMBER(INDIRECT("'01 Inputs'!E34"))),1,0)</f>
        <v>0</v>
      </c>
      <c r="K19" s="22">
        <f t="array" ref="K19">IF(ISNUMBER(INDIRECT("'01 Inputs'!G34")),1,0)</f>
        <v>0</v>
      </c>
      <c r="L19" s="22">
        <f t="array" ref="L19">IF(ISNUMBER(INDIRECT("'01 Inputs'!H34")),1,0)</f>
        <v>0</v>
      </c>
      <c r="M19" s="22">
        <f t="array" ref="M19">IF(ISNUMBER(INDIRECT("'01 Inputs'!I34")),1,0)</f>
        <v>0</v>
      </c>
      <c r="N19" s="28">
        <f t="shared" si="2"/>
        <v>0</v>
      </c>
    </row>
    <row r="20">
      <c r="B20" s="22">
        <v>15.0</v>
      </c>
      <c r="C20" s="24">
        <f t="array" ref="C20">INDIRECT("'01 Inputs'!B35")</f>
        <v>46447</v>
      </c>
      <c r="D20" s="28">
        <f t="array" ref="D20">N(INDIRECT("'01 Inputs'!C35"))</f>
        <v>0</v>
      </c>
      <c r="E20" s="28">
        <f t="array" ref="E20">N(INDIRECT("'01 Inputs'!D35"))</f>
        <v>0</v>
      </c>
      <c r="F20" s="28">
        <f t="array" ref="F20">N(INDIRECT("'01 Inputs'!E35"))</f>
        <v>0</v>
      </c>
      <c r="G20" s="28">
        <f t="array" ref="G20">N(INDIRECT("'01 Inputs'!F35"))</f>
        <v>0</v>
      </c>
      <c r="H20" s="28" t="str">
        <f t="shared" si="3"/>
        <v/>
      </c>
      <c r="I20" s="28">
        <f t="shared" si="1"/>
        <v>0</v>
      </c>
      <c r="J20" s="22">
        <f t="array" ref="J20">IF(AND(ISNUMBER(INDIRECT("'01 Inputs'!C35")),ISNUMBER(INDIRECT("'01 Inputs'!D35")),ISNUMBER(INDIRECT("'01 Inputs'!E35"))),1,0)</f>
        <v>0</v>
      </c>
      <c r="K20" s="22">
        <f t="array" ref="K20">IF(ISNUMBER(INDIRECT("'01 Inputs'!G35")),1,0)</f>
        <v>0</v>
      </c>
      <c r="L20" s="22">
        <f t="array" ref="L20">IF(ISNUMBER(INDIRECT("'01 Inputs'!H35")),1,0)</f>
        <v>0</v>
      </c>
      <c r="M20" s="22">
        <f t="array" ref="M20">IF(ISNUMBER(INDIRECT("'01 Inputs'!I35")),1,0)</f>
        <v>0</v>
      </c>
      <c r="N20" s="28">
        <f t="shared" si="2"/>
        <v>0</v>
      </c>
    </row>
    <row r="21" ht="15.75" customHeight="1">
      <c r="B21" s="22">
        <v>16.0</v>
      </c>
      <c r="C21" s="24">
        <f t="array" ref="C21">INDIRECT("'01 Inputs'!B36")</f>
        <v>46478</v>
      </c>
      <c r="D21" s="28">
        <f t="array" ref="D21">N(INDIRECT("'01 Inputs'!C36"))</f>
        <v>0</v>
      </c>
      <c r="E21" s="28">
        <f t="array" ref="E21">N(INDIRECT("'01 Inputs'!D36"))</f>
        <v>0</v>
      </c>
      <c r="F21" s="28">
        <f t="array" ref="F21">N(INDIRECT("'01 Inputs'!E36"))</f>
        <v>0</v>
      </c>
      <c r="G21" s="28">
        <f t="array" ref="G21">N(INDIRECT("'01 Inputs'!F36"))</f>
        <v>0</v>
      </c>
      <c r="H21" s="28" t="str">
        <f t="shared" si="3"/>
        <v/>
      </c>
      <c r="I21" s="28">
        <f t="shared" si="1"/>
        <v>0</v>
      </c>
      <c r="J21" s="22">
        <f t="array" ref="J21">IF(AND(ISNUMBER(INDIRECT("'01 Inputs'!C36")),ISNUMBER(INDIRECT("'01 Inputs'!D36")),ISNUMBER(INDIRECT("'01 Inputs'!E36"))),1,0)</f>
        <v>0</v>
      </c>
      <c r="K21" s="22">
        <f t="array" ref="K21">IF(ISNUMBER(INDIRECT("'01 Inputs'!G36")),1,0)</f>
        <v>0</v>
      </c>
      <c r="L21" s="22">
        <f t="array" ref="L21">IF(ISNUMBER(INDIRECT("'01 Inputs'!H36")),1,0)</f>
        <v>0</v>
      </c>
      <c r="M21" s="22">
        <f t="array" ref="M21">IF(ISNUMBER(INDIRECT("'01 Inputs'!I36")),1,0)</f>
        <v>0</v>
      </c>
      <c r="N21" s="28">
        <f t="shared" si="2"/>
        <v>0</v>
      </c>
    </row>
    <row r="22" ht="15.75" customHeight="1">
      <c r="B22" s="22">
        <v>17.0</v>
      </c>
      <c r="C22" s="24">
        <f t="array" ref="C22">INDIRECT("'01 Inputs'!B37")</f>
        <v>46508</v>
      </c>
      <c r="D22" s="28">
        <f t="array" ref="D22">N(INDIRECT("'01 Inputs'!C37"))</f>
        <v>0</v>
      </c>
      <c r="E22" s="28">
        <f t="array" ref="E22">N(INDIRECT("'01 Inputs'!D37"))</f>
        <v>0</v>
      </c>
      <c r="F22" s="28">
        <f t="array" ref="F22">N(INDIRECT("'01 Inputs'!E37"))</f>
        <v>0</v>
      </c>
      <c r="G22" s="28">
        <f t="array" ref="G22">N(INDIRECT("'01 Inputs'!F37"))</f>
        <v>0</v>
      </c>
      <c r="H22" s="28" t="str">
        <f t="shared" si="3"/>
        <v/>
      </c>
      <c r="I22" s="28">
        <f t="shared" si="1"/>
        <v>0</v>
      </c>
      <c r="J22" s="22">
        <f t="array" ref="J22">IF(AND(ISNUMBER(INDIRECT("'01 Inputs'!C37")),ISNUMBER(INDIRECT("'01 Inputs'!D37")),ISNUMBER(INDIRECT("'01 Inputs'!E37"))),1,0)</f>
        <v>0</v>
      </c>
      <c r="K22" s="22">
        <f t="array" ref="K22">IF(ISNUMBER(INDIRECT("'01 Inputs'!G37")),1,0)</f>
        <v>0</v>
      </c>
      <c r="L22" s="22">
        <f t="array" ref="L22">IF(ISNUMBER(INDIRECT("'01 Inputs'!H37")),1,0)</f>
        <v>0</v>
      </c>
      <c r="M22" s="22">
        <f t="array" ref="M22">IF(ISNUMBER(INDIRECT("'01 Inputs'!I37")),1,0)</f>
        <v>0</v>
      </c>
      <c r="N22" s="28">
        <f t="shared" si="2"/>
        <v>0</v>
      </c>
    </row>
    <row r="23" ht="15.75" customHeight="1">
      <c r="B23" s="22">
        <v>18.0</v>
      </c>
      <c r="C23" s="24">
        <f t="array" ref="C23">INDIRECT("'01 Inputs'!B38")</f>
        <v>46539</v>
      </c>
      <c r="D23" s="28">
        <f t="array" ref="D23">N(INDIRECT("'01 Inputs'!C38"))</f>
        <v>0</v>
      </c>
      <c r="E23" s="28">
        <f t="array" ref="E23">N(INDIRECT("'01 Inputs'!D38"))</f>
        <v>0</v>
      </c>
      <c r="F23" s="28">
        <f t="array" ref="F23">N(INDIRECT("'01 Inputs'!E38"))</f>
        <v>0</v>
      </c>
      <c r="G23" s="28">
        <f t="array" ref="G23">N(INDIRECT("'01 Inputs'!F38"))</f>
        <v>0</v>
      </c>
      <c r="H23" s="28" t="str">
        <f t="shared" si="3"/>
        <v/>
      </c>
      <c r="I23" s="28">
        <f t="shared" si="1"/>
        <v>0</v>
      </c>
      <c r="J23" s="22">
        <f t="array" ref="J23">IF(AND(ISNUMBER(INDIRECT("'01 Inputs'!C38")),ISNUMBER(INDIRECT("'01 Inputs'!D38")),ISNUMBER(INDIRECT("'01 Inputs'!E38"))),1,0)</f>
        <v>0</v>
      </c>
      <c r="K23" s="22">
        <f t="array" ref="K23">IF(ISNUMBER(INDIRECT("'01 Inputs'!G38")),1,0)</f>
        <v>0</v>
      </c>
      <c r="L23" s="22">
        <f t="array" ref="L23">IF(ISNUMBER(INDIRECT("'01 Inputs'!H38")),1,0)</f>
        <v>0</v>
      </c>
      <c r="M23" s="22">
        <f t="array" ref="M23">IF(ISNUMBER(INDIRECT("'01 Inputs'!I38")),1,0)</f>
        <v>0</v>
      </c>
      <c r="N23" s="28">
        <f t="shared" si="2"/>
        <v>0</v>
      </c>
    </row>
    <row r="24" ht="15.75" customHeight="1">
      <c r="B24" s="22">
        <v>19.0</v>
      </c>
      <c r="C24" s="24">
        <f t="array" ref="C24">INDIRECT("'01 Inputs'!B39")</f>
        <v>46569</v>
      </c>
      <c r="D24" s="28">
        <f t="array" ref="D24">N(INDIRECT("'01 Inputs'!C39"))</f>
        <v>0</v>
      </c>
      <c r="E24" s="28">
        <f t="array" ref="E24">N(INDIRECT("'01 Inputs'!D39"))</f>
        <v>0</v>
      </c>
      <c r="F24" s="28">
        <f t="array" ref="F24">N(INDIRECT("'01 Inputs'!E39"))</f>
        <v>0</v>
      </c>
      <c r="G24" s="28">
        <f t="array" ref="G24">N(INDIRECT("'01 Inputs'!F39"))</f>
        <v>0</v>
      </c>
      <c r="H24" s="28" t="str">
        <f t="shared" si="3"/>
        <v/>
      </c>
      <c r="I24" s="28">
        <f t="shared" si="1"/>
        <v>0</v>
      </c>
      <c r="J24" s="22">
        <f t="array" ref="J24">IF(AND(ISNUMBER(INDIRECT("'01 Inputs'!C39")),ISNUMBER(INDIRECT("'01 Inputs'!D39")),ISNUMBER(INDIRECT("'01 Inputs'!E39"))),1,0)</f>
        <v>0</v>
      </c>
      <c r="K24" s="22">
        <f t="array" ref="K24">IF(ISNUMBER(INDIRECT("'01 Inputs'!G39")),1,0)</f>
        <v>0</v>
      </c>
      <c r="L24" s="22">
        <f t="array" ref="L24">IF(ISNUMBER(INDIRECT("'01 Inputs'!H39")),1,0)</f>
        <v>0</v>
      </c>
      <c r="M24" s="22">
        <f t="array" ref="M24">IF(ISNUMBER(INDIRECT("'01 Inputs'!I39")),1,0)</f>
        <v>0</v>
      </c>
      <c r="N24" s="28">
        <f t="shared" si="2"/>
        <v>0</v>
      </c>
    </row>
    <row r="25" ht="15.75" customHeight="1">
      <c r="B25" s="22">
        <v>20.0</v>
      </c>
      <c r="C25" s="24">
        <f t="array" ref="C25">INDIRECT("'01 Inputs'!B40")</f>
        <v>46600</v>
      </c>
      <c r="D25" s="28">
        <f t="array" ref="D25">N(INDIRECT("'01 Inputs'!C40"))</f>
        <v>0</v>
      </c>
      <c r="E25" s="28">
        <f t="array" ref="E25">N(INDIRECT("'01 Inputs'!D40"))</f>
        <v>0</v>
      </c>
      <c r="F25" s="28">
        <f t="array" ref="F25">N(INDIRECT("'01 Inputs'!E40"))</f>
        <v>0</v>
      </c>
      <c r="G25" s="28">
        <f t="array" ref="G25">N(INDIRECT("'01 Inputs'!F40"))</f>
        <v>0</v>
      </c>
      <c r="H25" s="28" t="str">
        <f t="shared" si="3"/>
        <v/>
      </c>
      <c r="I25" s="28">
        <f t="shared" si="1"/>
        <v>0</v>
      </c>
      <c r="J25" s="22">
        <f t="array" ref="J25">IF(AND(ISNUMBER(INDIRECT("'01 Inputs'!C40")),ISNUMBER(INDIRECT("'01 Inputs'!D40")),ISNUMBER(INDIRECT("'01 Inputs'!E40"))),1,0)</f>
        <v>0</v>
      </c>
      <c r="K25" s="22">
        <f t="array" ref="K25">IF(ISNUMBER(INDIRECT("'01 Inputs'!G40")),1,0)</f>
        <v>0</v>
      </c>
      <c r="L25" s="22">
        <f t="array" ref="L25">IF(ISNUMBER(INDIRECT("'01 Inputs'!H40")),1,0)</f>
        <v>0</v>
      </c>
      <c r="M25" s="22">
        <f t="array" ref="M25">IF(ISNUMBER(INDIRECT("'01 Inputs'!I40")),1,0)</f>
        <v>0</v>
      </c>
      <c r="N25" s="28">
        <f t="shared" si="2"/>
        <v>0</v>
      </c>
    </row>
    <row r="26" ht="15.75" customHeight="1">
      <c r="B26" s="22">
        <v>21.0</v>
      </c>
      <c r="C26" s="24">
        <f t="array" ref="C26">INDIRECT("'01 Inputs'!B41")</f>
        <v>46631</v>
      </c>
      <c r="D26" s="28">
        <f t="array" ref="D26">N(INDIRECT("'01 Inputs'!C41"))</f>
        <v>0</v>
      </c>
      <c r="E26" s="28">
        <f t="array" ref="E26">N(INDIRECT("'01 Inputs'!D41"))</f>
        <v>0</v>
      </c>
      <c r="F26" s="28">
        <f t="array" ref="F26">N(INDIRECT("'01 Inputs'!E41"))</f>
        <v>0</v>
      </c>
      <c r="G26" s="28">
        <f t="array" ref="G26">N(INDIRECT("'01 Inputs'!F41"))</f>
        <v>0</v>
      </c>
      <c r="H26" s="28" t="str">
        <f t="shared" si="3"/>
        <v/>
      </c>
      <c r="I26" s="28">
        <f t="shared" si="1"/>
        <v>0</v>
      </c>
      <c r="J26" s="22">
        <f t="array" ref="J26">IF(AND(ISNUMBER(INDIRECT("'01 Inputs'!C41")),ISNUMBER(INDIRECT("'01 Inputs'!D41")),ISNUMBER(INDIRECT("'01 Inputs'!E41"))),1,0)</f>
        <v>0</v>
      </c>
      <c r="K26" s="22">
        <f t="array" ref="K26">IF(ISNUMBER(INDIRECT("'01 Inputs'!G41")),1,0)</f>
        <v>0</v>
      </c>
      <c r="L26" s="22">
        <f t="array" ref="L26">IF(ISNUMBER(INDIRECT("'01 Inputs'!H41")),1,0)</f>
        <v>0</v>
      </c>
      <c r="M26" s="22">
        <f t="array" ref="M26">IF(ISNUMBER(INDIRECT("'01 Inputs'!I41")),1,0)</f>
        <v>0</v>
      </c>
      <c r="N26" s="28">
        <f t="shared" si="2"/>
        <v>0</v>
      </c>
    </row>
    <row r="27" ht="15.75" customHeight="1">
      <c r="B27" s="22">
        <v>22.0</v>
      </c>
      <c r="C27" s="24">
        <f t="array" ref="C27">INDIRECT("'01 Inputs'!B42")</f>
        <v>46661</v>
      </c>
      <c r="D27" s="28">
        <f t="array" ref="D27">N(INDIRECT("'01 Inputs'!C42"))</f>
        <v>0</v>
      </c>
      <c r="E27" s="28">
        <f t="array" ref="E27">N(INDIRECT("'01 Inputs'!D42"))</f>
        <v>0</v>
      </c>
      <c r="F27" s="28">
        <f t="array" ref="F27">N(INDIRECT("'01 Inputs'!E42"))</f>
        <v>0</v>
      </c>
      <c r="G27" s="28">
        <f t="array" ref="G27">N(INDIRECT("'01 Inputs'!F42"))</f>
        <v>0</v>
      </c>
      <c r="H27" s="28" t="str">
        <f t="shared" si="3"/>
        <v/>
      </c>
      <c r="I27" s="28">
        <f t="shared" si="1"/>
        <v>0</v>
      </c>
      <c r="J27" s="22">
        <f t="array" ref="J27">IF(AND(ISNUMBER(INDIRECT("'01 Inputs'!C42")),ISNUMBER(INDIRECT("'01 Inputs'!D42")),ISNUMBER(INDIRECT("'01 Inputs'!E42"))),1,0)</f>
        <v>0</v>
      </c>
      <c r="K27" s="22">
        <f t="array" ref="K27">IF(ISNUMBER(INDIRECT("'01 Inputs'!G42")),1,0)</f>
        <v>0</v>
      </c>
      <c r="L27" s="22">
        <f t="array" ref="L27">IF(ISNUMBER(INDIRECT("'01 Inputs'!H42")),1,0)</f>
        <v>0</v>
      </c>
      <c r="M27" s="22">
        <f t="array" ref="M27">IF(ISNUMBER(INDIRECT("'01 Inputs'!I42")),1,0)</f>
        <v>0</v>
      </c>
      <c r="N27" s="28">
        <f t="shared" si="2"/>
        <v>0</v>
      </c>
    </row>
    <row r="28" ht="15.75" customHeight="1">
      <c r="B28" s="22">
        <v>23.0</v>
      </c>
      <c r="C28" s="24">
        <f t="array" ref="C28">INDIRECT("'01 Inputs'!B43")</f>
        <v>46692</v>
      </c>
      <c r="D28" s="28">
        <f t="array" ref="D28">N(INDIRECT("'01 Inputs'!C43"))</f>
        <v>0</v>
      </c>
      <c r="E28" s="28">
        <f t="array" ref="E28">N(INDIRECT("'01 Inputs'!D43"))</f>
        <v>0</v>
      </c>
      <c r="F28" s="28">
        <f t="array" ref="F28">N(INDIRECT("'01 Inputs'!E43"))</f>
        <v>0</v>
      </c>
      <c r="G28" s="28">
        <f t="array" ref="G28">N(INDIRECT("'01 Inputs'!F43"))</f>
        <v>0</v>
      </c>
      <c r="H28" s="28" t="str">
        <f t="shared" si="3"/>
        <v/>
      </c>
      <c r="I28" s="28">
        <f t="shared" si="1"/>
        <v>0</v>
      </c>
      <c r="J28" s="22">
        <f t="array" ref="J28">IF(AND(ISNUMBER(INDIRECT("'01 Inputs'!C43")),ISNUMBER(INDIRECT("'01 Inputs'!D43")),ISNUMBER(INDIRECT("'01 Inputs'!E43"))),1,0)</f>
        <v>0</v>
      </c>
      <c r="K28" s="22">
        <f t="array" ref="K28">IF(ISNUMBER(INDIRECT("'01 Inputs'!G43")),1,0)</f>
        <v>0</v>
      </c>
      <c r="L28" s="22">
        <f t="array" ref="L28">IF(ISNUMBER(INDIRECT("'01 Inputs'!H43")),1,0)</f>
        <v>0</v>
      </c>
      <c r="M28" s="22">
        <f t="array" ref="M28">IF(ISNUMBER(INDIRECT("'01 Inputs'!I43")),1,0)</f>
        <v>0</v>
      </c>
      <c r="N28" s="28">
        <f t="shared" si="2"/>
        <v>0</v>
      </c>
    </row>
    <row r="29" ht="15.75" customHeight="1">
      <c r="B29" s="22">
        <v>24.0</v>
      </c>
      <c r="C29" s="24">
        <f t="array" ref="C29">INDIRECT("'01 Inputs'!B44")</f>
        <v>46722</v>
      </c>
      <c r="D29" s="28">
        <f t="array" ref="D29">N(INDIRECT("'01 Inputs'!C44"))</f>
        <v>0</v>
      </c>
      <c r="E29" s="28">
        <f t="array" ref="E29">N(INDIRECT("'01 Inputs'!D44"))</f>
        <v>0</v>
      </c>
      <c r="F29" s="28">
        <f t="array" ref="F29">N(INDIRECT("'01 Inputs'!E44"))</f>
        <v>0</v>
      </c>
      <c r="G29" s="28">
        <f t="array" ref="G29">N(INDIRECT("'01 Inputs'!F44"))</f>
        <v>0</v>
      </c>
      <c r="H29" s="28" t="str">
        <f t="shared" si="3"/>
        <v/>
      </c>
      <c r="I29" s="28">
        <f t="shared" si="1"/>
        <v>0</v>
      </c>
      <c r="J29" s="22">
        <f t="array" ref="J29">IF(AND(ISNUMBER(INDIRECT("'01 Inputs'!C44")),ISNUMBER(INDIRECT("'01 Inputs'!D44")),ISNUMBER(INDIRECT("'01 Inputs'!E44"))),1,0)</f>
        <v>0</v>
      </c>
      <c r="K29" s="22">
        <f t="array" ref="K29">IF(ISNUMBER(INDIRECT("'01 Inputs'!G44")),1,0)</f>
        <v>0</v>
      </c>
      <c r="L29" s="22">
        <f t="array" ref="L29">IF(ISNUMBER(INDIRECT("'01 Inputs'!H44")),1,0)</f>
        <v>0</v>
      </c>
      <c r="M29" s="22">
        <f t="array" ref="M29">IF(ISNUMBER(INDIRECT("'01 Inputs'!I44")),1,0)</f>
        <v>0</v>
      </c>
      <c r="N29" s="28">
        <f t="shared" si="2"/>
        <v>0</v>
      </c>
    </row>
    <row r="30" ht="15.75" customHeight="1"/>
    <row r="31" ht="15.75" customHeight="1">
      <c r="A31" s="4" t="s">
        <v>170</v>
      </c>
      <c r="B31" s="2"/>
      <c r="C31" s="2"/>
      <c r="D31" s="2"/>
      <c r="E31" s="2"/>
      <c r="F31" s="2"/>
      <c r="G31" s="2"/>
      <c r="H31" s="2"/>
      <c r="I31" s="2"/>
      <c r="J31" s="2"/>
      <c r="K31" s="2"/>
      <c r="L31" s="2"/>
      <c r="M31" s="2"/>
      <c r="N31" s="2"/>
    </row>
    <row r="32" ht="15.75" customHeight="1">
      <c r="B32" s="16" t="s">
        <v>171</v>
      </c>
      <c r="C32" s="22">
        <f t="array" ref="C32">COUNT(INDIRECT("'01 Inputs'!C21:C44"))</f>
        <v>9</v>
      </c>
    </row>
    <row r="33" ht="15.75" customHeight="1">
      <c r="B33" s="16" t="s">
        <v>172</v>
      </c>
      <c r="C33" s="22">
        <f>SUMPRODUCT((B6:B29&lt;=$C$32)*J6:J29)</f>
        <v>9</v>
      </c>
    </row>
    <row r="34" ht="15.75" customHeight="1">
      <c r="B34" s="16" t="s">
        <v>173</v>
      </c>
      <c r="C34" s="22">
        <f>SUM(J6:J29)</f>
        <v>9</v>
      </c>
    </row>
    <row r="35" ht="15.75" customHeight="1">
      <c r="B35" s="16" t="s">
        <v>174</v>
      </c>
      <c r="C35" s="24">
        <f t="array" ref="C35">IF($C$32&gt;=1,INDEX(C6:C29,$C$32),N(INDIRECT("'01 Inputs'!C15")))</f>
        <v>46266</v>
      </c>
    </row>
    <row r="36" ht="15.75" customHeight="1">
      <c r="B36" s="16" t="s">
        <v>175</v>
      </c>
      <c r="C36" s="40" t="str">
        <f>TEXT($C$35,"mmmm yyyy")</f>
        <v>September 2026</v>
      </c>
    </row>
    <row r="37" ht="15.75" customHeight="1">
      <c r="B37" s="16" t="s">
        <v>176</v>
      </c>
      <c r="C37" s="28">
        <f t="array" ref="C37">IF($C$32&gt;=1,INDEX(D6:D29,$C$32),0)</f>
        <v>68000</v>
      </c>
    </row>
    <row r="38" ht="15.75" customHeight="1">
      <c r="B38" s="16" t="s">
        <v>177</v>
      </c>
      <c r="C38" s="28">
        <f t="array" ref="C38">IF($C$32&gt;=2,INDEX(D6:D29,$C$32-1),0)</f>
        <v>65500</v>
      </c>
    </row>
    <row r="39" ht="15.75" customHeight="1">
      <c r="B39" s="16" t="s">
        <v>178</v>
      </c>
      <c r="C39" s="22">
        <f>MAX(0,MIN(3,$C$32-1))</f>
        <v>3</v>
      </c>
    </row>
    <row r="40" ht="15.75" customHeight="1">
      <c r="B40" s="16" t="s">
        <v>179</v>
      </c>
      <c r="C40" s="22">
        <f>MAX(1,MIN(3,$C$32))</f>
        <v>3</v>
      </c>
    </row>
    <row r="41" ht="15.75" customHeight="1">
      <c r="B41" s="16" t="s">
        <v>180</v>
      </c>
      <c r="C41" s="28">
        <f t="array" ref="C41">IF($C$39&gt;=1,INDEX(D6:D29,$C$32-$C$39),0)</f>
        <v>61000</v>
      </c>
    </row>
    <row r="42" ht="15.75" customHeight="1">
      <c r="B42" s="16" t="s">
        <v>181</v>
      </c>
      <c r="C42" s="28">
        <f t="array" ref="C42">IF($C$32&gt;=1,INDEX(E6:E29,$C$32),0)</f>
        <v>3515000</v>
      </c>
    </row>
    <row r="43" ht="15.75" customHeight="1">
      <c r="B43" s="16" t="s">
        <v>182</v>
      </c>
      <c r="C43" s="28">
        <f t="array" ref="C43">IF($C$32&gt;=1,INDEX(F6:F29,$C$32),0)</f>
        <v>205000</v>
      </c>
    </row>
    <row r="44" ht="15.75" customHeight="1">
      <c r="B44" s="16" t="s">
        <v>183</v>
      </c>
      <c r="C44" s="28">
        <f>SUMPRODUCT((B6:B29&gt;$C$32-$C$40)*(B6:B29&lt;=$C$32)*F6:F29)/$C$40</f>
        <v>195000</v>
      </c>
    </row>
    <row r="45" ht="15.75" customHeight="1">
      <c r="B45" s="16" t="s">
        <v>184</v>
      </c>
      <c r="C45" s="28">
        <f>SUMPRODUCT((B6:B29&gt;$C$32-$C$39)*(B6:B29&lt;=$C$32)*F6:F29)</f>
        <v>585000</v>
      </c>
    </row>
    <row r="46" ht="15.75" customHeight="1">
      <c r="B46" s="16" t="s">
        <v>185</v>
      </c>
      <c r="C46" s="28">
        <f>SUMPRODUCT((B6:B29&gt;$C$32-$C$40)*(B6:B29&lt;=$C$32)*(D6:D29+F6:F29))/$C$40</f>
        <v>260500</v>
      </c>
    </row>
    <row r="47" ht="15.75" customHeight="1">
      <c r="B47" s="16" t="s">
        <v>186</v>
      </c>
      <c r="C47" s="31">
        <f>IF(AND($C$32&gt;=2,$C$38&gt;0),$C$37/$C$38-1,"n/a")</f>
        <v>0.03816793893</v>
      </c>
    </row>
    <row r="48" ht="15.75" customHeight="1">
      <c r="B48" s="16" t="s">
        <v>187</v>
      </c>
      <c r="C48" s="41">
        <f>IF(AND($C$39&gt;=1,$C$41&gt;0,$C$37&gt;0),($C$37/$C$41)^(1/$C$39)-1,"n/a")</f>
        <v>0.03687489462</v>
      </c>
    </row>
    <row r="49" ht="15.75" customHeight="1">
      <c r="B49" s="16" t="s">
        <v>188</v>
      </c>
      <c r="C49" s="41">
        <f>IF(ISNUMBER($C$48),$C$48,0)</f>
        <v>0.03687489462</v>
      </c>
    </row>
    <row r="50" ht="15.75" customHeight="1">
      <c r="B50" s="16" t="s">
        <v>189</v>
      </c>
      <c r="C50" s="22">
        <f>IF($C$44&lt;=0,1,0)</f>
        <v>0</v>
      </c>
    </row>
    <row r="51" ht="15.75" customHeight="1">
      <c r="B51" s="16" t="s">
        <v>190</v>
      </c>
      <c r="C51" s="42">
        <f>IF($C$50=1,999,$C$42/$C$44)</f>
        <v>18.02564103</v>
      </c>
      <c r="D51" s="12" t="s">
        <v>191</v>
      </c>
    </row>
    <row r="52" ht="15.75" customHeight="1">
      <c r="B52" s="16" t="s">
        <v>192</v>
      </c>
      <c r="C52" s="40" t="str">
        <f>IF($C$50=1,"cash flow positive",TEXT($C$51,"0.0")&amp;" months")</f>
        <v>18.0 months</v>
      </c>
    </row>
    <row r="53" ht="15.75" customHeight="1">
      <c r="B53" s="16" t="s">
        <v>193</v>
      </c>
      <c r="C53" s="24">
        <f>IF($C$50=1,"",EDATE($C$35,INT($C$51)))</f>
        <v>46813</v>
      </c>
    </row>
    <row r="54" ht="15.75" customHeight="1">
      <c r="B54" s="16" t="s">
        <v>194</v>
      </c>
      <c r="C54" s="40" t="str">
        <f>IF($C$39=1,"last month","the last "&amp;$C$39&amp;" months")</f>
        <v>the last 3 months</v>
      </c>
    </row>
    <row r="55" ht="15.75" customHeight="1">
      <c r="B55" s="16" t="s">
        <v>195</v>
      </c>
      <c r="C55" s="43">
        <f>IF(AND($C$39&gt;=1,$C$37-$C$41&gt;0,$C$45&gt;0),$C$45/(12*($C$37-$C$41)),"n/a")</f>
        <v>6.964285714</v>
      </c>
    </row>
    <row r="56" ht="15.75" customHeight="1">
      <c r="B56" s="16" t="s">
        <v>196</v>
      </c>
      <c r="C56" s="40" t="str">
        <f>IF(ISNUMBER($C$55),IF($C$55&lt;1,"Amazing",IF($C$55&lt;1.5,"Great",IF($C$55&lt;2,"Good",IF($C$55&lt;=3,"Suspect","Bad")))),IF(AND($C$39&gt;=1,$C$45&gt;0),"no net new revenue",IF($C$39&gt;=1,"not burning","n/a")))</f>
        <v>Bad</v>
      </c>
    </row>
    <row r="57" ht="15.75" customHeight="1">
      <c r="B57" s="16" t="s">
        <v>197</v>
      </c>
      <c r="C57" s="22">
        <f t="array" ref="C57">IF($C$32&gt;=1,INDEX(K6:K29,$C$32),0)</f>
        <v>1</v>
      </c>
    </row>
    <row r="58" ht="15.75" customHeight="1">
      <c r="B58" s="16" t="s">
        <v>198</v>
      </c>
      <c r="C58" s="22">
        <f t="array" ref="C58">IF($C$32&gt;=1,INDEX(L6:L29,$C$32),0)</f>
        <v>1</v>
      </c>
    </row>
    <row r="59" ht="15.75" customHeight="1">
      <c r="B59" s="16" t="s">
        <v>199</v>
      </c>
      <c r="C59" s="22">
        <f t="array" ref="C59">IF($C$32&gt;=1,INDEX(M6:M29,$C$32),0)</f>
        <v>1</v>
      </c>
    </row>
    <row r="60" ht="15.75" customHeight="1">
      <c r="B60" s="16" t="s">
        <v>200</v>
      </c>
      <c r="C60" s="22">
        <f t="array" ref="C60">IF($C$32&gt;=2,INDEX(K6:K29,$C$32-1),0)</f>
        <v>1</v>
      </c>
    </row>
    <row r="61" ht="15.75" customHeight="1">
      <c r="B61" s="16" t="s">
        <v>201</v>
      </c>
      <c r="C61" s="22">
        <f t="array" ref="C61">IF($C$32&gt;=2,INDEX(L6:L29,$C$32-1),0)</f>
        <v>1</v>
      </c>
    </row>
    <row r="62" ht="15.75" customHeight="1">
      <c r="B62" s="16" t="s">
        <v>202</v>
      </c>
      <c r="C62" s="22">
        <f t="array" ref="C62">IF($C$32&gt;=2,INDEX(M6:M29,$C$32-1),0)</f>
        <v>1</v>
      </c>
    </row>
    <row r="63" ht="15.75" customHeight="1">
      <c r="B63" s="16" t="s">
        <v>203</v>
      </c>
      <c r="C63" s="28">
        <f>MAX(N6:N29)</f>
        <v>0</v>
      </c>
    </row>
    <row r="64" ht="15.75" customHeight="1">
      <c r="B64" s="16" t="s">
        <v>204</v>
      </c>
      <c r="C64" s="24" t="str">
        <f t="array" ref="C64">IFERROR(INDEX(C6:C29,MATCH(TRUE,INDEX(N6:N29&gt;N(INDIRECT("'01 Inputs'!C72")),0),0)),"")</f>
        <v/>
      </c>
    </row>
    <row r="65" ht="15.75" customHeight="1">
      <c r="B65" s="16" t="s">
        <v>205</v>
      </c>
      <c r="C65" s="44">
        <f t="array" ref="C65">IF($C$32&gt;=1,INDIRECT("'01 Inputs'!"&amp;ADDRESS(21-1+$C$32,7)),0)</f>
        <v>45</v>
      </c>
    </row>
    <row r="66" ht="15.75" customHeight="1">
      <c r="B66" s="16" t="s">
        <v>206</v>
      </c>
      <c r="C66" s="44">
        <f t="array" ref="C66">IF($C$32&gt;=2,INDIRECT("'01 Inputs'!"&amp;ADDRESS(21-1+$C$32-1,7)),0)</f>
        <v>43</v>
      </c>
    </row>
    <row r="67" ht="15.75" customHeight="1">
      <c r="B67" s="16" t="s">
        <v>207</v>
      </c>
      <c r="C67" s="44">
        <f t="array" ref="C67">IF($C$32&gt;=1,INDIRECT("'01 Inputs'!"&amp;ADDRESS(21-1+$C$32,8)),0)</f>
        <v>13</v>
      </c>
    </row>
    <row r="68" ht="15.75" customHeight="1">
      <c r="B68" s="16" t="s">
        <v>208</v>
      </c>
      <c r="C68" s="44">
        <f t="array" ref="C68">IF($C$32&gt;=2,INDIRECT("'01 Inputs'!"&amp;ADDRESS(21-1+$C$32-1,8)),0)</f>
        <v>13</v>
      </c>
    </row>
    <row r="69" ht="15.75" customHeight="1">
      <c r="B69" s="16" t="s">
        <v>209</v>
      </c>
      <c r="C69" s="43">
        <f t="array" ref="C69">IF($C$32&gt;=1,INDIRECT("'01 Inputs'!"&amp;ADDRESS(21-1+$C$32,9)),0)</f>
        <v>1.01</v>
      </c>
    </row>
    <row r="70" ht="15.75" customHeight="1">
      <c r="B70" s="16" t="s">
        <v>210</v>
      </c>
      <c r="C70" s="43">
        <f t="array" ref="C70">IF($C$32&gt;=2,INDIRECT("'01 Inputs'!"&amp;ADDRESS(21-1+$C$32-1,9)),0)</f>
        <v>0.98</v>
      </c>
    </row>
    <row r="71" ht="15.75" customHeight="1"/>
    <row r="72" ht="15.75" customHeight="1">
      <c r="A72" s="4" t="s">
        <v>211</v>
      </c>
      <c r="B72" s="2"/>
      <c r="C72" s="2"/>
      <c r="D72" s="2"/>
      <c r="E72" s="2"/>
      <c r="F72" s="2"/>
      <c r="G72" s="2"/>
      <c r="H72" s="2"/>
      <c r="I72" s="2"/>
      <c r="J72" s="2"/>
      <c r="K72" s="2"/>
      <c r="L72" s="2"/>
      <c r="M72" s="2"/>
      <c r="N72" s="2"/>
    </row>
    <row r="73" ht="15.75" customHeight="1">
      <c r="B73" s="16" t="s">
        <v>212</v>
      </c>
      <c r="C73" s="22">
        <f>IF(AND($C$32&gt;=2,$C$37&gt;0,$C$46&gt;$C$37),1,0)</f>
        <v>1</v>
      </c>
    </row>
    <row r="74" ht="15.75" customHeight="1">
      <c r="B74" s="16" t="s">
        <v>213</v>
      </c>
      <c r="C74" s="22">
        <f>IF(AND($C$73=1,$C$49&gt;0),ROUNDUP(LN($C$46/$C$37)/LN(1+$C$49)-0.000000001,0),"")</f>
        <v>38</v>
      </c>
    </row>
    <row r="75" ht="15.75" customHeight="1">
      <c r="B75" s="16" t="s">
        <v>214</v>
      </c>
      <c r="C75" s="28">
        <f>IF($C$74="","",$C$42-($C$74-1)*$C$46+$C$37*((1+$C$49)^$C$74-(1+$C$49))/$C$49)</f>
        <v>-734616.3188</v>
      </c>
    </row>
    <row r="76" ht="15.75" customHeight="1">
      <c r="B76" s="16" t="s">
        <v>215</v>
      </c>
      <c r="C76" s="40" t="str">
        <f>IF($C$32&lt;2,"needs two months",IF($C$37&lt;=0,"pre-revenue",IF($C$46&lt;=$C$37,"alive (revenue covers spending)",IF($C$74="","dead",IF($C$75&gt;=0,"alive","dead")))))</f>
        <v>dead</v>
      </c>
    </row>
    <row r="77" ht="15.75" customHeight="1">
      <c r="B77" s="16" t="s">
        <v>216</v>
      </c>
      <c r="C77" s="24">
        <f>IF($C$74="","",EDATE($C$35,$C$74))</f>
        <v>47423</v>
      </c>
    </row>
    <row r="78" ht="15.75" customHeight="1">
      <c r="B78" s="16" t="s">
        <v>217</v>
      </c>
      <c r="C78" s="22">
        <f t="array" ref="C78">IF(OR($C$32&lt;1,$C$50=1,$C$73=0),0,IFERROR(MATCH(TRUE,INDEX(F120:F179&lt;0,0),0),0))</f>
        <v>24</v>
      </c>
    </row>
    <row r="79" ht="15.75" customHeight="1">
      <c r="B79" s="16" t="s">
        <v>218</v>
      </c>
      <c r="C79" s="24">
        <f>IF($C$78=0,"",EDATE($C$35,$C$78))</f>
        <v>46997</v>
      </c>
    </row>
    <row r="80" ht="15.75" customHeight="1">
      <c r="B80" s="16" t="s">
        <v>219</v>
      </c>
      <c r="C80" s="28">
        <f t="array" ref="C80">IF(OR($C$74="",$C$74&gt;61),"",IF($C$74=1,$C$42,INDEX(F120:F179,$C$74-1)))</f>
        <v>-734616.3188</v>
      </c>
    </row>
    <row r="81" ht="15.75" customHeight="1">
      <c r="B81" s="16" t="s">
        <v>220</v>
      </c>
      <c r="C81" s="22">
        <f>IF($C$73=1,IF(($C$42-(ROUNDUP(LN($C$46/$C$37)/LN(1+0.5)-0.000000001,0)-1)*$C$46+$C$37*((1+0.5)^ROUNDUP(LN($C$46/$C$37)/LN(1+0.5)-0.000000001,0)-(1+0.5))/0.5&gt;=0),1,0),0)</f>
        <v>1</v>
      </c>
    </row>
    <row r="82" ht="15.75" customHeight="1">
      <c r="B82" s="16" t="s">
        <v>221</v>
      </c>
      <c r="C82" s="41">
        <f>D116</f>
        <v>0.04454475921</v>
      </c>
    </row>
    <row r="83" ht="15.75" customHeight="1">
      <c r="B83" s="16" t="s">
        <v>222</v>
      </c>
      <c r="C83" s="40" t="str">
        <f>IF($C$76="needs two months","needs two months of revenue",IF($C$76="pre-revenue","n/a, pre-revenue",IF($C$73=0,"already covered",IF($C$81=0,"above 50% a month",TEXT($C$82,"0.0%")&amp;" a month, vs "&amp;TEXT($C$49,"0.0%")&amp;" now"))))</f>
        <v>4.5% a month, vs 3.7% now</v>
      </c>
    </row>
    <row r="84" ht="15.75" customHeight="1">
      <c r="B84" s="16" t="s">
        <v>223</v>
      </c>
      <c r="C84" s="40" t="str">
        <f>IF(LEFT($C$76,5)="alive","Yes",IF($C$76="dead","No","n/a ("&amp;$C$76&amp;")"))</f>
        <v>No</v>
      </c>
    </row>
    <row r="85" ht="15.75" customHeight="1"/>
    <row r="86" ht="15.75" customHeight="1">
      <c r="B86" s="21" t="s">
        <v>224</v>
      </c>
      <c r="C86" s="21" t="s">
        <v>225</v>
      </c>
      <c r="D86" s="21" t="s">
        <v>226</v>
      </c>
      <c r="E86" s="21" t="s">
        <v>227</v>
      </c>
      <c r="F86" s="21" t="s">
        <v>228</v>
      </c>
    </row>
    <row r="87" ht="15.75" customHeight="1">
      <c r="B87" s="22">
        <v>1.0</v>
      </c>
      <c r="C87" s="45">
        <f>0</f>
        <v>0</v>
      </c>
      <c r="D87" s="45">
        <f>0.5</f>
        <v>0.5</v>
      </c>
      <c r="E87" s="45">
        <f t="shared" ref="E87:E116" si="4">(C87+D87)/2</f>
        <v>0.25</v>
      </c>
      <c r="F87" s="22">
        <f t="shared" ref="F87:F116" si="5">IF($C$73=1,IF(($C$42-(ROUNDUP(LN($C$46/$C$37)/LN(1+E87)-0.000000001,0)-1)*$C$46+$C$37*((1+E87)^ROUNDUP(LN($C$46/$C$37)/LN(1+E87)-0.000000001,0)-(1+E87))/E87&gt;=0),1,0),0)</f>
        <v>1</v>
      </c>
    </row>
    <row r="88" ht="15.75" customHeight="1">
      <c r="B88" s="22">
        <v>2.0</v>
      </c>
      <c r="C88" s="45">
        <f t="shared" ref="C88:C116" si="6">IF(F87=1,C87,E87)</f>
        <v>0</v>
      </c>
      <c r="D88" s="45">
        <f t="shared" ref="D88:D116" si="7">IF(F87=1,E87,D87)</f>
        <v>0.25</v>
      </c>
      <c r="E88" s="45">
        <f t="shared" si="4"/>
        <v>0.125</v>
      </c>
      <c r="F88" s="22">
        <f t="shared" si="5"/>
        <v>1</v>
      </c>
    </row>
    <row r="89" ht="15.75" customHeight="1">
      <c r="B89" s="22">
        <v>3.0</v>
      </c>
      <c r="C89" s="45">
        <f t="shared" si="6"/>
        <v>0</v>
      </c>
      <c r="D89" s="45">
        <f t="shared" si="7"/>
        <v>0.125</v>
      </c>
      <c r="E89" s="45">
        <f t="shared" si="4"/>
        <v>0.0625</v>
      </c>
      <c r="F89" s="22">
        <f t="shared" si="5"/>
        <v>1</v>
      </c>
    </row>
    <row r="90" ht="15.75" customHeight="1">
      <c r="B90" s="22">
        <v>4.0</v>
      </c>
      <c r="C90" s="45">
        <f t="shared" si="6"/>
        <v>0</v>
      </c>
      <c r="D90" s="45">
        <f t="shared" si="7"/>
        <v>0.0625</v>
      </c>
      <c r="E90" s="45">
        <f t="shared" si="4"/>
        <v>0.03125</v>
      </c>
      <c r="F90" s="22">
        <f t="shared" si="5"/>
        <v>0</v>
      </c>
    </row>
    <row r="91" ht="15.75" customHeight="1">
      <c r="B91" s="22">
        <v>5.0</v>
      </c>
      <c r="C91" s="45">
        <f t="shared" si="6"/>
        <v>0.03125</v>
      </c>
      <c r="D91" s="45">
        <f t="shared" si="7"/>
        <v>0.0625</v>
      </c>
      <c r="E91" s="45">
        <f t="shared" si="4"/>
        <v>0.046875</v>
      </c>
      <c r="F91" s="22">
        <f t="shared" si="5"/>
        <v>1</v>
      </c>
    </row>
    <row r="92" ht="15.75" customHeight="1">
      <c r="B92" s="22">
        <v>6.0</v>
      </c>
      <c r="C92" s="45">
        <f t="shared" si="6"/>
        <v>0.03125</v>
      </c>
      <c r="D92" s="45">
        <f t="shared" si="7"/>
        <v>0.046875</v>
      </c>
      <c r="E92" s="45">
        <f t="shared" si="4"/>
        <v>0.0390625</v>
      </c>
      <c r="F92" s="22">
        <f t="shared" si="5"/>
        <v>0</v>
      </c>
    </row>
    <row r="93" ht="15.75" customHeight="1">
      <c r="B93" s="22">
        <v>7.0</v>
      </c>
      <c r="C93" s="45">
        <f t="shared" si="6"/>
        <v>0.0390625</v>
      </c>
      <c r="D93" s="45">
        <f t="shared" si="7"/>
        <v>0.046875</v>
      </c>
      <c r="E93" s="45">
        <f t="shared" si="4"/>
        <v>0.04296875</v>
      </c>
      <c r="F93" s="22">
        <f t="shared" si="5"/>
        <v>0</v>
      </c>
    </row>
    <row r="94" ht="15.75" customHeight="1">
      <c r="B94" s="22">
        <v>8.0</v>
      </c>
      <c r="C94" s="45">
        <f t="shared" si="6"/>
        <v>0.04296875</v>
      </c>
      <c r="D94" s="45">
        <f t="shared" si="7"/>
        <v>0.046875</v>
      </c>
      <c r="E94" s="45">
        <f t="shared" si="4"/>
        <v>0.044921875</v>
      </c>
      <c r="F94" s="22">
        <f t="shared" si="5"/>
        <v>1</v>
      </c>
    </row>
    <row r="95" ht="15.75" customHeight="1">
      <c r="B95" s="22">
        <v>9.0</v>
      </c>
      <c r="C95" s="45">
        <f t="shared" si="6"/>
        <v>0.04296875</v>
      </c>
      <c r="D95" s="45">
        <f t="shared" si="7"/>
        <v>0.044921875</v>
      </c>
      <c r="E95" s="45">
        <f t="shared" si="4"/>
        <v>0.0439453125</v>
      </c>
      <c r="F95" s="22">
        <f t="shared" si="5"/>
        <v>0</v>
      </c>
    </row>
    <row r="96" ht="15.75" customHeight="1">
      <c r="B96" s="22">
        <v>10.0</v>
      </c>
      <c r="C96" s="45">
        <f t="shared" si="6"/>
        <v>0.0439453125</v>
      </c>
      <c r="D96" s="45">
        <f t="shared" si="7"/>
        <v>0.044921875</v>
      </c>
      <c r="E96" s="45">
        <f t="shared" si="4"/>
        <v>0.04443359375</v>
      </c>
      <c r="F96" s="22">
        <f t="shared" si="5"/>
        <v>0</v>
      </c>
    </row>
    <row r="97" ht="15.75" customHeight="1">
      <c r="B97" s="22">
        <v>11.0</v>
      </c>
      <c r="C97" s="45">
        <f t="shared" si="6"/>
        <v>0.04443359375</v>
      </c>
      <c r="D97" s="45">
        <f t="shared" si="7"/>
        <v>0.044921875</v>
      </c>
      <c r="E97" s="45">
        <f t="shared" si="4"/>
        <v>0.04467773438</v>
      </c>
      <c r="F97" s="22">
        <f t="shared" si="5"/>
        <v>1</v>
      </c>
    </row>
    <row r="98" ht="15.75" customHeight="1">
      <c r="B98" s="22">
        <v>12.0</v>
      </c>
      <c r="C98" s="45">
        <f t="shared" si="6"/>
        <v>0.04443359375</v>
      </c>
      <c r="D98" s="45">
        <f t="shared" si="7"/>
        <v>0.04467773438</v>
      </c>
      <c r="E98" s="45">
        <f t="shared" si="4"/>
        <v>0.04455566406</v>
      </c>
      <c r="F98" s="22">
        <f t="shared" si="5"/>
        <v>1</v>
      </c>
    </row>
    <row r="99" ht="15.75" customHeight="1">
      <c r="B99" s="22">
        <v>13.0</v>
      </c>
      <c r="C99" s="45">
        <f t="shared" si="6"/>
        <v>0.04443359375</v>
      </c>
      <c r="D99" s="45">
        <f t="shared" si="7"/>
        <v>0.04455566406</v>
      </c>
      <c r="E99" s="45">
        <f t="shared" si="4"/>
        <v>0.04449462891</v>
      </c>
      <c r="F99" s="22">
        <f t="shared" si="5"/>
        <v>0</v>
      </c>
    </row>
    <row r="100" ht="15.75" customHeight="1">
      <c r="B100" s="22">
        <v>14.0</v>
      </c>
      <c r="C100" s="45">
        <f t="shared" si="6"/>
        <v>0.04449462891</v>
      </c>
      <c r="D100" s="45">
        <f t="shared" si="7"/>
        <v>0.04455566406</v>
      </c>
      <c r="E100" s="45">
        <f t="shared" si="4"/>
        <v>0.04452514648</v>
      </c>
      <c r="F100" s="22">
        <f t="shared" si="5"/>
        <v>0</v>
      </c>
    </row>
    <row r="101" ht="15.75" customHeight="1">
      <c r="B101" s="22">
        <v>15.0</v>
      </c>
      <c r="C101" s="45">
        <f t="shared" si="6"/>
        <v>0.04452514648</v>
      </c>
      <c r="D101" s="45">
        <f t="shared" si="7"/>
        <v>0.04455566406</v>
      </c>
      <c r="E101" s="45">
        <f t="shared" si="4"/>
        <v>0.04454040527</v>
      </c>
      <c r="F101" s="22">
        <f t="shared" si="5"/>
        <v>0</v>
      </c>
    </row>
    <row r="102" ht="15.75" customHeight="1">
      <c r="B102" s="22">
        <v>16.0</v>
      </c>
      <c r="C102" s="45">
        <f t="shared" si="6"/>
        <v>0.04454040527</v>
      </c>
      <c r="D102" s="45">
        <f t="shared" si="7"/>
        <v>0.04455566406</v>
      </c>
      <c r="E102" s="45">
        <f t="shared" si="4"/>
        <v>0.04454803467</v>
      </c>
      <c r="F102" s="22">
        <f t="shared" si="5"/>
        <v>1</v>
      </c>
    </row>
    <row r="103" ht="15.75" customHeight="1">
      <c r="B103" s="22">
        <v>17.0</v>
      </c>
      <c r="C103" s="45">
        <f t="shared" si="6"/>
        <v>0.04454040527</v>
      </c>
      <c r="D103" s="45">
        <f t="shared" si="7"/>
        <v>0.04454803467</v>
      </c>
      <c r="E103" s="45">
        <f t="shared" si="4"/>
        <v>0.04454421997</v>
      </c>
      <c r="F103" s="22">
        <f t="shared" si="5"/>
        <v>0</v>
      </c>
    </row>
    <row r="104" ht="15.75" customHeight="1">
      <c r="B104" s="22">
        <v>18.0</v>
      </c>
      <c r="C104" s="45">
        <f t="shared" si="6"/>
        <v>0.04454421997</v>
      </c>
      <c r="D104" s="45">
        <f t="shared" si="7"/>
        <v>0.04454803467</v>
      </c>
      <c r="E104" s="45">
        <f t="shared" si="4"/>
        <v>0.04454612732</v>
      </c>
      <c r="F104" s="22">
        <f t="shared" si="5"/>
        <v>1</v>
      </c>
    </row>
    <row r="105" ht="15.75" customHeight="1">
      <c r="B105" s="22">
        <v>19.0</v>
      </c>
      <c r="C105" s="45">
        <f t="shared" si="6"/>
        <v>0.04454421997</v>
      </c>
      <c r="D105" s="45">
        <f t="shared" si="7"/>
        <v>0.04454612732</v>
      </c>
      <c r="E105" s="45">
        <f t="shared" si="4"/>
        <v>0.04454517365</v>
      </c>
      <c r="F105" s="22">
        <f t="shared" si="5"/>
        <v>1</v>
      </c>
    </row>
    <row r="106" ht="15.75" customHeight="1">
      <c r="B106" s="22">
        <v>20.0</v>
      </c>
      <c r="C106" s="45">
        <f t="shared" si="6"/>
        <v>0.04454421997</v>
      </c>
      <c r="D106" s="45">
        <f t="shared" si="7"/>
        <v>0.04454517365</v>
      </c>
      <c r="E106" s="45">
        <f t="shared" si="4"/>
        <v>0.04454469681</v>
      </c>
      <c r="F106" s="22">
        <f t="shared" si="5"/>
        <v>0</v>
      </c>
    </row>
    <row r="107" ht="15.75" customHeight="1">
      <c r="B107" s="22">
        <v>21.0</v>
      </c>
      <c r="C107" s="45">
        <f t="shared" si="6"/>
        <v>0.04454469681</v>
      </c>
      <c r="D107" s="45">
        <f t="shared" si="7"/>
        <v>0.04454517365</v>
      </c>
      <c r="E107" s="45">
        <f t="shared" si="4"/>
        <v>0.04454493523</v>
      </c>
      <c r="F107" s="22">
        <f t="shared" si="5"/>
        <v>1</v>
      </c>
    </row>
    <row r="108" ht="15.75" customHeight="1">
      <c r="B108" s="22">
        <v>22.0</v>
      </c>
      <c r="C108" s="45">
        <f t="shared" si="6"/>
        <v>0.04454469681</v>
      </c>
      <c r="D108" s="45">
        <f t="shared" si="7"/>
        <v>0.04454493523</v>
      </c>
      <c r="E108" s="45">
        <f t="shared" si="4"/>
        <v>0.04454481602</v>
      </c>
      <c r="F108" s="22">
        <f t="shared" si="5"/>
        <v>1</v>
      </c>
    </row>
    <row r="109" ht="15.75" customHeight="1">
      <c r="B109" s="22">
        <v>23.0</v>
      </c>
      <c r="C109" s="45">
        <f t="shared" si="6"/>
        <v>0.04454469681</v>
      </c>
      <c r="D109" s="45">
        <f t="shared" si="7"/>
        <v>0.04454481602</v>
      </c>
      <c r="E109" s="45">
        <f t="shared" si="4"/>
        <v>0.04454475641</v>
      </c>
      <c r="F109" s="22">
        <f t="shared" si="5"/>
        <v>0</v>
      </c>
    </row>
    <row r="110" ht="15.75" customHeight="1">
      <c r="B110" s="22">
        <v>24.0</v>
      </c>
      <c r="C110" s="45">
        <f t="shared" si="6"/>
        <v>0.04454475641</v>
      </c>
      <c r="D110" s="45">
        <f t="shared" si="7"/>
        <v>0.04454481602</v>
      </c>
      <c r="E110" s="45">
        <f t="shared" si="4"/>
        <v>0.04454478621</v>
      </c>
      <c r="F110" s="22">
        <f t="shared" si="5"/>
        <v>1</v>
      </c>
    </row>
    <row r="111" ht="15.75" customHeight="1">
      <c r="B111" s="22">
        <v>25.0</v>
      </c>
      <c r="C111" s="45">
        <f t="shared" si="6"/>
        <v>0.04454475641</v>
      </c>
      <c r="D111" s="45">
        <f t="shared" si="7"/>
        <v>0.04454478621</v>
      </c>
      <c r="E111" s="45">
        <f t="shared" si="4"/>
        <v>0.04454477131</v>
      </c>
      <c r="F111" s="22">
        <f t="shared" si="5"/>
        <v>1</v>
      </c>
    </row>
    <row r="112" ht="15.75" customHeight="1">
      <c r="B112" s="22">
        <v>26.0</v>
      </c>
      <c r="C112" s="45">
        <f t="shared" si="6"/>
        <v>0.04454475641</v>
      </c>
      <c r="D112" s="45">
        <f t="shared" si="7"/>
        <v>0.04454477131</v>
      </c>
      <c r="E112" s="45">
        <f t="shared" si="4"/>
        <v>0.04454476386</v>
      </c>
      <c r="F112" s="22">
        <f t="shared" si="5"/>
        <v>1</v>
      </c>
    </row>
    <row r="113" ht="15.75" customHeight="1">
      <c r="B113" s="22">
        <v>27.0</v>
      </c>
      <c r="C113" s="45">
        <f t="shared" si="6"/>
        <v>0.04454475641</v>
      </c>
      <c r="D113" s="45">
        <f t="shared" si="7"/>
        <v>0.04454476386</v>
      </c>
      <c r="E113" s="45">
        <f t="shared" si="4"/>
        <v>0.04454476014</v>
      </c>
      <c r="F113" s="22">
        <f t="shared" si="5"/>
        <v>1</v>
      </c>
    </row>
    <row r="114" ht="15.75" customHeight="1">
      <c r="B114" s="22">
        <v>28.0</v>
      </c>
      <c r="C114" s="45">
        <f t="shared" si="6"/>
        <v>0.04454475641</v>
      </c>
      <c r="D114" s="45">
        <f t="shared" si="7"/>
        <v>0.04454476014</v>
      </c>
      <c r="E114" s="45">
        <f t="shared" si="4"/>
        <v>0.04454475828</v>
      </c>
      <c r="F114" s="22">
        <f t="shared" si="5"/>
        <v>0</v>
      </c>
    </row>
    <row r="115" ht="15.75" customHeight="1">
      <c r="B115" s="22">
        <v>29.0</v>
      </c>
      <c r="C115" s="45">
        <f t="shared" si="6"/>
        <v>0.04454475828</v>
      </c>
      <c r="D115" s="45">
        <f t="shared" si="7"/>
        <v>0.04454476014</v>
      </c>
      <c r="E115" s="45">
        <f t="shared" si="4"/>
        <v>0.04454475921</v>
      </c>
      <c r="F115" s="22">
        <f t="shared" si="5"/>
        <v>1</v>
      </c>
    </row>
    <row r="116" ht="15.75" customHeight="1">
      <c r="B116" s="22">
        <v>30.0</v>
      </c>
      <c r="C116" s="45">
        <f t="shared" si="6"/>
        <v>0.04454475828</v>
      </c>
      <c r="D116" s="45">
        <f t="shared" si="7"/>
        <v>0.04454475921</v>
      </c>
      <c r="E116" s="45">
        <f t="shared" si="4"/>
        <v>0.04454475874</v>
      </c>
      <c r="F116" s="22">
        <f t="shared" si="5"/>
        <v>0</v>
      </c>
    </row>
    <row r="117" ht="15.75" customHeight="1"/>
    <row r="118" ht="15.75" customHeight="1">
      <c r="A118" s="4" t="s">
        <v>229</v>
      </c>
      <c r="B118" s="2"/>
      <c r="C118" s="2"/>
      <c r="D118" s="2"/>
      <c r="E118" s="2"/>
      <c r="F118" s="2"/>
      <c r="G118" s="2"/>
      <c r="H118" s="2"/>
      <c r="I118" s="2"/>
      <c r="J118" s="2"/>
      <c r="K118" s="2"/>
      <c r="L118" s="2"/>
      <c r="M118" s="2"/>
      <c r="N118" s="2"/>
    </row>
    <row r="119" ht="15.75" customHeight="1">
      <c r="B119" s="21" t="s">
        <v>54</v>
      </c>
      <c r="C119" s="21" t="s">
        <v>55</v>
      </c>
      <c r="D119" s="21" t="s">
        <v>230</v>
      </c>
      <c r="E119" s="21" t="s">
        <v>57</v>
      </c>
      <c r="F119" s="21" t="s">
        <v>56</v>
      </c>
    </row>
    <row r="120" ht="15.75" customHeight="1">
      <c r="B120" s="22">
        <v>1.0</v>
      </c>
      <c r="C120" s="28">
        <f t="shared" ref="C120:C179" si="8">$C$37*(1+$C$49)^B120</f>
        <v>70507.49283</v>
      </c>
      <c r="D120" s="28">
        <f t="shared" ref="D120:D179" si="9">$C$46</f>
        <v>260500</v>
      </c>
      <c r="E120" s="28">
        <f t="shared" ref="E120:E179" si="10">D120-C120</f>
        <v>189992.5072</v>
      </c>
      <c r="F120" s="28">
        <f>$C$42-E120</f>
        <v>3325007.493</v>
      </c>
    </row>
    <row r="121" ht="15.75" customHeight="1">
      <c r="B121" s="22">
        <v>2.0</v>
      </c>
      <c r="C121" s="28">
        <f t="shared" si="8"/>
        <v>73107.4492</v>
      </c>
      <c r="D121" s="28">
        <f t="shared" si="9"/>
        <v>260500</v>
      </c>
      <c r="E121" s="28">
        <f t="shared" si="10"/>
        <v>187392.5508</v>
      </c>
      <c r="F121" s="28">
        <f t="shared" ref="F121:F179" si="11">F120-E121</f>
        <v>3137614.942</v>
      </c>
    </row>
    <row r="122" ht="15.75" customHeight="1">
      <c r="B122" s="22">
        <v>3.0</v>
      </c>
      <c r="C122" s="28">
        <f t="shared" si="8"/>
        <v>75803.27869</v>
      </c>
      <c r="D122" s="28">
        <f t="shared" si="9"/>
        <v>260500</v>
      </c>
      <c r="E122" s="28">
        <f t="shared" si="10"/>
        <v>184696.7213</v>
      </c>
      <c r="F122" s="28">
        <f t="shared" si="11"/>
        <v>2952918.221</v>
      </c>
    </row>
    <row r="123" ht="15.75" customHeight="1">
      <c r="B123" s="22">
        <v>4.0</v>
      </c>
      <c r="C123" s="28">
        <f t="shared" si="8"/>
        <v>78598.5166</v>
      </c>
      <c r="D123" s="28">
        <f t="shared" si="9"/>
        <v>260500</v>
      </c>
      <c r="E123" s="28">
        <f t="shared" si="10"/>
        <v>181901.4834</v>
      </c>
      <c r="F123" s="28">
        <f t="shared" si="11"/>
        <v>2771016.737</v>
      </c>
    </row>
    <row r="124" ht="15.75" customHeight="1">
      <c r="B124" s="22">
        <v>5.0</v>
      </c>
      <c r="C124" s="28">
        <f t="shared" si="8"/>
        <v>81496.82862</v>
      </c>
      <c r="D124" s="28">
        <f t="shared" si="9"/>
        <v>260500</v>
      </c>
      <c r="E124" s="28">
        <f t="shared" si="10"/>
        <v>179003.1714</v>
      </c>
      <c r="F124" s="28">
        <f t="shared" si="11"/>
        <v>2592013.566</v>
      </c>
    </row>
    <row r="125" ht="15.75" customHeight="1">
      <c r="B125" s="22">
        <v>6.0</v>
      </c>
      <c r="C125" s="28">
        <f t="shared" si="8"/>
        <v>84502.01559</v>
      </c>
      <c r="D125" s="28">
        <f t="shared" si="9"/>
        <v>260500</v>
      </c>
      <c r="E125" s="28">
        <f t="shared" si="10"/>
        <v>175997.9844</v>
      </c>
      <c r="F125" s="28">
        <f t="shared" si="11"/>
        <v>2416015.582</v>
      </c>
    </row>
    <row r="126" ht="15.75" customHeight="1">
      <c r="B126" s="22">
        <v>7.0</v>
      </c>
      <c r="C126" s="28">
        <f t="shared" si="8"/>
        <v>87618.01851</v>
      </c>
      <c r="D126" s="28">
        <f t="shared" si="9"/>
        <v>260500</v>
      </c>
      <c r="E126" s="28">
        <f t="shared" si="10"/>
        <v>172881.9815</v>
      </c>
      <c r="F126" s="28">
        <f t="shared" si="11"/>
        <v>2243133.6</v>
      </c>
    </row>
    <row r="127" ht="15.75" customHeight="1">
      <c r="B127" s="22">
        <v>8.0</v>
      </c>
      <c r="C127" s="28">
        <f t="shared" si="8"/>
        <v>90848.92371</v>
      </c>
      <c r="D127" s="28">
        <f t="shared" si="9"/>
        <v>260500</v>
      </c>
      <c r="E127" s="28">
        <f t="shared" si="10"/>
        <v>169651.0763</v>
      </c>
      <c r="F127" s="28">
        <f t="shared" si="11"/>
        <v>2073482.524</v>
      </c>
    </row>
    <row r="128" ht="15.75" customHeight="1">
      <c r="B128" s="22">
        <v>9.0</v>
      </c>
      <c r="C128" s="28">
        <f t="shared" si="8"/>
        <v>94198.9682</v>
      </c>
      <c r="D128" s="28">
        <f t="shared" si="9"/>
        <v>260500</v>
      </c>
      <c r="E128" s="28">
        <f t="shared" si="10"/>
        <v>166301.0318</v>
      </c>
      <c r="F128" s="28">
        <f t="shared" si="11"/>
        <v>1907181.492</v>
      </c>
    </row>
    <row r="129" ht="15.75" customHeight="1">
      <c r="B129" s="22">
        <v>10.0</v>
      </c>
      <c r="C129" s="28">
        <f t="shared" si="8"/>
        <v>97672.54522</v>
      </c>
      <c r="D129" s="28">
        <f t="shared" si="9"/>
        <v>260500</v>
      </c>
      <c r="E129" s="28">
        <f t="shared" si="10"/>
        <v>162827.4548</v>
      </c>
      <c r="F129" s="28">
        <f t="shared" si="11"/>
        <v>1744354.037</v>
      </c>
    </row>
    <row r="130" ht="15.75" customHeight="1">
      <c r="B130" s="22">
        <v>11.0</v>
      </c>
      <c r="C130" s="28">
        <f t="shared" si="8"/>
        <v>101274.21</v>
      </c>
      <c r="D130" s="28">
        <f t="shared" si="9"/>
        <v>260500</v>
      </c>
      <c r="E130" s="28">
        <f t="shared" si="10"/>
        <v>159225.79</v>
      </c>
      <c r="F130" s="28">
        <f t="shared" si="11"/>
        <v>1585128.247</v>
      </c>
    </row>
    <row r="131" ht="15.75" customHeight="1">
      <c r="B131" s="22">
        <v>12.0</v>
      </c>
      <c r="C131" s="28">
        <f t="shared" si="8"/>
        <v>105008.6859</v>
      </c>
      <c r="D131" s="28">
        <f t="shared" si="9"/>
        <v>260500</v>
      </c>
      <c r="E131" s="28">
        <f t="shared" si="10"/>
        <v>155491.3141</v>
      </c>
      <c r="F131" s="28">
        <f t="shared" si="11"/>
        <v>1429636.933</v>
      </c>
    </row>
    <row r="132" ht="15.75" customHeight="1">
      <c r="B132" s="22">
        <v>13.0</v>
      </c>
      <c r="C132" s="28">
        <f t="shared" si="8"/>
        <v>108880.8701</v>
      </c>
      <c r="D132" s="28">
        <f t="shared" si="9"/>
        <v>260500</v>
      </c>
      <c r="E132" s="28">
        <f t="shared" si="10"/>
        <v>151619.1299</v>
      </c>
      <c r="F132" s="28">
        <f t="shared" si="11"/>
        <v>1278017.803</v>
      </c>
    </row>
    <row r="133" ht="15.75" customHeight="1">
      <c r="B133" s="22">
        <v>14.0</v>
      </c>
      <c r="C133" s="28">
        <f t="shared" si="8"/>
        <v>112895.8407</v>
      </c>
      <c r="D133" s="28">
        <f t="shared" si="9"/>
        <v>260500</v>
      </c>
      <c r="E133" s="28">
        <f t="shared" si="10"/>
        <v>147604.1593</v>
      </c>
      <c r="F133" s="28">
        <f t="shared" si="11"/>
        <v>1130413.644</v>
      </c>
    </row>
    <row r="134" ht="15.75" customHeight="1">
      <c r="B134" s="22">
        <v>15.0</v>
      </c>
      <c r="C134" s="28">
        <f t="shared" si="8"/>
        <v>117058.8629</v>
      </c>
      <c r="D134" s="28">
        <f t="shared" si="9"/>
        <v>260500</v>
      </c>
      <c r="E134" s="28">
        <f t="shared" si="10"/>
        <v>143441.1371</v>
      </c>
      <c r="F134" s="28">
        <f t="shared" si="11"/>
        <v>986972.5068</v>
      </c>
    </row>
    <row r="135" ht="15.75" customHeight="1">
      <c r="B135" s="22">
        <v>16.0</v>
      </c>
      <c r="C135" s="28">
        <f t="shared" si="8"/>
        <v>121375.3962</v>
      </c>
      <c r="D135" s="28">
        <f t="shared" si="9"/>
        <v>260500</v>
      </c>
      <c r="E135" s="28">
        <f t="shared" si="10"/>
        <v>139124.6038</v>
      </c>
      <c r="F135" s="28">
        <f t="shared" si="11"/>
        <v>847847.9029</v>
      </c>
    </row>
    <row r="136" ht="15.75" customHeight="1">
      <c r="B136" s="22">
        <v>17.0</v>
      </c>
      <c r="C136" s="28">
        <f t="shared" si="8"/>
        <v>125851.1011</v>
      </c>
      <c r="D136" s="28">
        <f t="shared" si="9"/>
        <v>260500</v>
      </c>
      <c r="E136" s="28">
        <f t="shared" si="10"/>
        <v>134648.8989</v>
      </c>
      <c r="F136" s="28">
        <f t="shared" si="11"/>
        <v>713199.004</v>
      </c>
    </row>
    <row r="137" ht="15.75" customHeight="1">
      <c r="B137" s="22">
        <v>18.0</v>
      </c>
      <c r="C137" s="28">
        <f t="shared" si="8"/>
        <v>130491.8472</v>
      </c>
      <c r="D137" s="28">
        <f t="shared" si="9"/>
        <v>260500</v>
      </c>
      <c r="E137" s="28">
        <f t="shared" si="10"/>
        <v>130008.1528</v>
      </c>
      <c r="F137" s="28">
        <f t="shared" si="11"/>
        <v>583190.8512</v>
      </c>
    </row>
    <row r="138" ht="15.75" customHeight="1">
      <c r="B138" s="22">
        <v>19.0</v>
      </c>
      <c r="C138" s="28">
        <f t="shared" si="8"/>
        <v>135303.7203</v>
      </c>
      <c r="D138" s="28">
        <f t="shared" si="9"/>
        <v>260500</v>
      </c>
      <c r="E138" s="28">
        <f t="shared" si="10"/>
        <v>125196.2797</v>
      </c>
      <c r="F138" s="28">
        <f t="shared" si="11"/>
        <v>457994.5715</v>
      </c>
    </row>
    <row r="139" ht="15.75" customHeight="1">
      <c r="B139" s="22">
        <v>20.0</v>
      </c>
      <c r="C139" s="28">
        <f t="shared" si="8"/>
        <v>140293.0307</v>
      </c>
      <c r="D139" s="28">
        <f t="shared" si="9"/>
        <v>260500</v>
      </c>
      <c r="E139" s="28">
        <f t="shared" si="10"/>
        <v>120206.9693</v>
      </c>
      <c r="F139" s="28">
        <f t="shared" si="11"/>
        <v>337787.6023</v>
      </c>
    </row>
    <row r="140" ht="15.75" customHeight="1">
      <c r="B140" s="22">
        <v>21.0</v>
      </c>
      <c r="C140" s="28">
        <f t="shared" si="8"/>
        <v>145466.3215</v>
      </c>
      <c r="D140" s="28">
        <f t="shared" si="9"/>
        <v>260500</v>
      </c>
      <c r="E140" s="28">
        <f t="shared" si="10"/>
        <v>115033.6785</v>
      </c>
      <c r="F140" s="28">
        <f t="shared" si="11"/>
        <v>222753.9237</v>
      </c>
    </row>
    <row r="141" ht="15.75" customHeight="1">
      <c r="B141" s="22">
        <v>22.0</v>
      </c>
      <c r="C141" s="28">
        <f t="shared" si="8"/>
        <v>150830.3767</v>
      </c>
      <c r="D141" s="28">
        <f t="shared" si="9"/>
        <v>260500</v>
      </c>
      <c r="E141" s="28">
        <f t="shared" si="10"/>
        <v>109669.6233</v>
      </c>
      <c r="F141" s="28">
        <f t="shared" si="11"/>
        <v>113084.3005</v>
      </c>
    </row>
    <row r="142" ht="15.75" customHeight="1">
      <c r="B142" s="22">
        <v>23.0</v>
      </c>
      <c r="C142" s="28">
        <f t="shared" si="8"/>
        <v>156392.231</v>
      </c>
      <c r="D142" s="28">
        <f t="shared" si="9"/>
        <v>260500</v>
      </c>
      <c r="E142" s="28">
        <f t="shared" si="10"/>
        <v>104107.769</v>
      </c>
      <c r="F142" s="28">
        <f t="shared" si="11"/>
        <v>8976.531435</v>
      </c>
    </row>
    <row r="143" ht="15.75" customHeight="1">
      <c r="B143" s="22">
        <v>24.0</v>
      </c>
      <c r="C143" s="28">
        <f t="shared" si="8"/>
        <v>162159.178</v>
      </c>
      <c r="D143" s="28">
        <f t="shared" si="9"/>
        <v>260500</v>
      </c>
      <c r="E143" s="28">
        <f t="shared" si="10"/>
        <v>98340.82198</v>
      </c>
      <c r="F143" s="28">
        <f t="shared" si="11"/>
        <v>-89364.29054</v>
      </c>
    </row>
    <row r="144" ht="15.75" customHeight="1">
      <c r="B144" s="22">
        <v>25.0</v>
      </c>
      <c r="C144" s="28">
        <f t="shared" si="8"/>
        <v>168138.7806</v>
      </c>
      <c r="D144" s="28">
        <f t="shared" si="9"/>
        <v>260500</v>
      </c>
      <c r="E144" s="28">
        <f t="shared" si="10"/>
        <v>92361.21938</v>
      </c>
      <c r="F144" s="28">
        <f t="shared" si="11"/>
        <v>-181725.5099</v>
      </c>
    </row>
    <row r="145" ht="15.75" customHeight="1">
      <c r="B145" s="22">
        <v>26.0</v>
      </c>
      <c r="C145" s="28">
        <f t="shared" si="8"/>
        <v>174338.8804</v>
      </c>
      <c r="D145" s="28">
        <f t="shared" si="9"/>
        <v>260500</v>
      </c>
      <c r="E145" s="28">
        <f t="shared" si="10"/>
        <v>86161.11956</v>
      </c>
      <c r="F145" s="28">
        <f t="shared" si="11"/>
        <v>-267886.6295</v>
      </c>
    </row>
    <row r="146" ht="15.75" customHeight="1">
      <c r="B146" s="22">
        <v>27.0</v>
      </c>
      <c r="C146" s="28">
        <f t="shared" si="8"/>
        <v>180767.6083</v>
      </c>
      <c r="D146" s="28">
        <f t="shared" si="9"/>
        <v>260500</v>
      </c>
      <c r="E146" s="28">
        <f t="shared" si="10"/>
        <v>79732.39171</v>
      </c>
      <c r="F146" s="28">
        <f t="shared" si="11"/>
        <v>-347619.0212</v>
      </c>
    </row>
    <row r="147" ht="15.75" customHeight="1">
      <c r="B147" s="22">
        <v>28.0</v>
      </c>
      <c r="C147" s="28">
        <f t="shared" si="8"/>
        <v>187433.3948</v>
      </c>
      <c r="D147" s="28">
        <f t="shared" si="9"/>
        <v>260500</v>
      </c>
      <c r="E147" s="28">
        <f t="shared" si="10"/>
        <v>73066.60521</v>
      </c>
      <c r="F147" s="28">
        <f t="shared" si="11"/>
        <v>-420685.6264</v>
      </c>
    </row>
    <row r="148" ht="15.75" customHeight="1">
      <c r="B148" s="22">
        <v>29.0</v>
      </c>
      <c r="C148" s="28">
        <f t="shared" si="8"/>
        <v>194344.9815</v>
      </c>
      <c r="D148" s="28">
        <f t="shared" si="9"/>
        <v>260500</v>
      </c>
      <c r="E148" s="28">
        <f t="shared" si="10"/>
        <v>66155.01852</v>
      </c>
      <c r="F148" s="28">
        <f t="shared" si="11"/>
        <v>-486840.6449</v>
      </c>
    </row>
    <row r="149" ht="15.75" customHeight="1">
      <c r="B149" s="22">
        <v>30.0</v>
      </c>
      <c r="C149" s="28">
        <f t="shared" si="8"/>
        <v>201511.4322</v>
      </c>
      <c r="D149" s="28">
        <f t="shared" si="9"/>
        <v>260500</v>
      </c>
      <c r="E149" s="28">
        <f t="shared" si="10"/>
        <v>58988.56781</v>
      </c>
      <c r="F149" s="28">
        <f t="shared" si="11"/>
        <v>-545829.2127</v>
      </c>
    </row>
    <row r="150" ht="15.75" customHeight="1">
      <c r="B150" s="22">
        <v>31.0</v>
      </c>
      <c r="C150" s="28">
        <f t="shared" si="8"/>
        <v>208942.145</v>
      </c>
      <c r="D150" s="28">
        <f t="shared" si="9"/>
        <v>260500</v>
      </c>
      <c r="E150" s="28">
        <f t="shared" si="10"/>
        <v>51557.85498</v>
      </c>
      <c r="F150" s="28">
        <f t="shared" si="11"/>
        <v>-597387.0677</v>
      </c>
    </row>
    <row r="151" ht="15.75" customHeight="1">
      <c r="B151" s="22">
        <v>32.0</v>
      </c>
      <c r="C151" s="28">
        <f t="shared" si="8"/>
        <v>216646.8646</v>
      </c>
      <c r="D151" s="28">
        <f t="shared" si="9"/>
        <v>260500</v>
      </c>
      <c r="E151" s="28">
        <f t="shared" si="10"/>
        <v>43853.1354</v>
      </c>
      <c r="F151" s="28">
        <f t="shared" si="11"/>
        <v>-641240.2031</v>
      </c>
    </row>
    <row r="152" ht="15.75" customHeight="1">
      <c r="B152" s="22">
        <v>33.0</v>
      </c>
      <c r="C152" s="28">
        <f t="shared" si="8"/>
        <v>224635.6949</v>
      </c>
      <c r="D152" s="28">
        <f t="shared" si="9"/>
        <v>260500</v>
      </c>
      <c r="E152" s="28">
        <f t="shared" si="10"/>
        <v>35864.3051</v>
      </c>
      <c r="F152" s="28">
        <f t="shared" si="11"/>
        <v>-677104.5082</v>
      </c>
    </row>
    <row r="153" ht="15.75" customHeight="1">
      <c r="B153" s="22">
        <v>34.0</v>
      </c>
      <c r="C153" s="28">
        <f t="shared" si="8"/>
        <v>232919.1125</v>
      </c>
      <c r="D153" s="28">
        <f t="shared" si="9"/>
        <v>260500</v>
      </c>
      <c r="E153" s="28">
        <f t="shared" si="10"/>
        <v>27580.88752</v>
      </c>
      <c r="F153" s="28">
        <f t="shared" si="11"/>
        <v>-704685.3957</v>
      </c>
    </row>
    <row r="154" ht="15.75" customHeight="1">
      <c r="B154" s="22">
        <v>35.0</v>
      </c>
      <c r="C154" s="28">
        <f t="shared" si="8"/>
        <v>241507.9802</v>
      </c>
      <c r="D154" s="28">
        <f t="shared" si="9"/>
        <v>260500</v>
      </c>
      <c r="E154" s="28">
        <f t="shared" si="10"/>
        <v>18992.01979</v>
      </c>
      <c r="F154" s="28">
        <f t="shared" si="11"/>
        <v>-723677.4155</v>
      </c>
    </row>
    <row r="155" ht="15.75" customHeight="1">
      <c r="B155" s="22">
        <v>36.0</v>
      </c>
      <c r="C155" s="28">
        <f t="shared" si="8"/>
        <v>250413.5615</v>
      </c>
      <c r="D155" s="28">
        <f t="shared" si="9"/>
        <v>260500</v>
      </c>
      <c r="E155" s="28">
        <f t="shared" si="10"/>
        <v>10086.43847</v>
      </c>
      <c r="F155" s="28">
        <f t="shared" si="11"/>
        <v>-733763.854</v>
      </c>
    </row>
    <row r="156" ht="15.75" customHeight="1">
      <c r="B156" s="22">
        <v>37.0</v>
      </c>
      <c r="C156" s="28">
        <f t="shared" si="8"/>
        <v>259647.5352</v>
      </c>
      <c r="D156" s="28">
        <f t="shared" si="9"/>
        <v>260500</v>
      </c>
      <c r="E156" s="28">
        <f t="shared" si="10"/>
        <v>852.4647799</v>
      </c>
      <c r="F156" s="28">
        <f t="shared" si="11"/>
        <v>-734616.3188</v>
      </c>
    </row>
    <row r="157" ht="15.75" customHeight="1">
      <c r="B157" s="22">
        <v>38.0</v>
      </c>
      <c r="C157" s="28">
        <f t="shared" si="8"/>
        <v>269222.0107</v>
      </c>
      <c r="D157" s="28">
        <f t="shared" si="9"/>
        <v>260500</v>
      </c>
      <c r="E157" s="28">
        <f t="shared" si="10"/>
        <v>-8722.010721</v>
      </c>
      <c r="F157" s="28">
        <f t="shared" si="11"/>
        <v>-725894.3081</v>
      </c>
    </row>
    <row r="158" ht="15.75" customHeight="1">
      <c r="B158" s="22">
        <v>39.0</v>
      </c>
      <c r="C158" s="28">
        <f t="shared" si="8"/>
        <v>279149.544</v>
      </c>
      <c r="D158" s="28">
        <f t="shared" si="9"/>
        <v>260500</v>
      </c>
      <c r="E158" s="28">
        <f t="shared" si="10"/>
        <v>-18649.544</v>
      </c>
      <c r="F158" s="28">
        <f t="shared" si="11"/>
        <v>-707244.7641</v>
      </c>
    </row>
    <row r="159" ht="15.75" customHeight="1">
      <c r="B159" s="22">
        <v>40.0</v>
      </c>
      <c r="C159" s="28">
        <f t="shared" si="8"/>
        <v>289443.154</v>
      </c>
      <c r="D159" s="28">
        <f t="shared" si="9"/>
        <v>260500</v>
      </c>
      <c r="E159" s="28">
        <f t="shared" si="10"/>
        <v>-28943.15402</v>
      </c>
      <c r="F159" s="28">
        <f t="shared" si="11"/>
        <v>-678301.6101</v>
      </c>
    </row>
    <row r="160" ht="15.75" customHeight="1">
      <c r="B160" s="22">
        <v>41.0</v>
      </c>
      <c r="C160" s="28">
        <f t="shared" si="8"/>
        <v>300116.3398</v>
      </c>
      <c r="D160" s="28">
        <f t="shared" si="9"/>
        <v>260500</v>
      </c>
      <c r="E160" s="28">
        <f t="shared" si="10"/>
        <v>-39616.33982</v>
      </c>
      <c r="F160" s="28">
        <f t="shared" si="11"/>
        <v>-638685.2702</v>
      </c>
    </row>
    <row r="161" ht="15.75" customHeight="1">
      <c r="B161" s="22">
        <v>42.0</v>
      </c>
      <c r="C161" s="28">
        <f t="shared" si="8"/>
        <v>311183.0982</v>
      </c>
      <c r="D161" s="28">
        <f t="shared" si="9"/>
        <v>260500</v>
      </c>
      <c r="E161" s="28">
        <f t="shared" si="10"/>
        <v>-50683.09823</v>
      </c>
      <c r="F161" s="28">
        <f t="shared" si="11"/>
        <v>-588002.172</v>
      </c>
    </row>
    <row r="162" ht="15.75" customHeight="1">
      <c r="B162" s="22">
        <v>43.0</v>
      </c>
      <c r="C162" s="28">
        <f t="shared" si="8"/>
        <v>322657.9422</v>
      </c>
      <c r="D162" s="28">
        <f t="shared" si="9"/>
        <v>260500</v>
      </c>
      <c r="E162" s="28">
        <f t="shared" si="10"/>
        <v>-62157.94218</v>
      </c>
      <c r="F162" s="28">
        <f t="shared" si="11"/>
        <v>-525844.2298</v>
      </c>
    </row>
    <row r="163" ht="15.75" customHeight="1">
      <c r="B163" s="22">
        <v>44.0</v>
      </c>
      <c r="C163" s="28">
        <f t="shared" si="8"/>
        <v>334555.9198</v>
      </c>
      <c r="D163" s="28">
        <f t="shared" si="9"/>
        <v>260500</v>
      </c>
      <c r="E163" s="28">
        <f t="shared" si="10"/>
        <v>-74055.9198</v>
      </c>
      <c r="F163" s="28">
        <f t="shared" si="11"/>
        <v>-451788.31</v>
      </c>
    </row>
    <row r="164" ht="15.75" customHeight="1">
      <c r="B164" s="22">
        <v>45.0</v>
      </c>
      <c r="C164" s="28">
        <f t="shared" si="8"/>
        <v>346892.6341</v>
      </c>
      <c r="D164" s="28">
        <f t="shared" si="9"/>
        <v>260500</v>
      </c>
      <c r="E164" s="28">
        <f t="shared" si="10"/>
        <v>-86392.63409</v>
      </c>
      <c r="F164" s="28">
        <f t="shared" si="11"/>
        <v>-365395.6759</v>
      </c>
    </row>
    <row r="165" ht="15.75" customHeight="1">
      <c r="B165" s="22">
        <v>46.0</v>
      </c>
      <c r="C165" s="28">
        <f t="shared" si="8"/>
        <v>359684.2634</v>
      </c>
      <c r="D165" s="28">
        <f t="shared" si="9"/>
        <v>260500</v>
      </c>
      <c r="E165" s="28">
        <f t="shared" si="10"/>
        <v>-99184.26342</v>
      </c>
      <c r="F165" s="28">
        <f t="shared" si="11"/>
        <v>-266211.4125</v>
      </c>
    </row>
    <row r="166" ht="15.75" customHeight="1">
      <c r="B166" s="22">
        <v>47.0</v>
      </c>
      <c r="C166" s="28">
        <f t="shared" si="8"/>
        <v>372947.5827</v>
      </c>
      <c r="D166" s="28">
        <f t="shared" si="9"/>
        <v>260500</v>
      </c>
      <c r="E166" s="28">
        <f t="shared" si="10"/>
        <v>-112447.5827</v>
      </c>
      <c r="F166" s="28">
        <f t="shared" si="11"/>
        <v>-153763.8298</v>
      </c>
    </row>
    <row r="167" ht="15.75" customHeight="1">
      <c r="B167" s="22">
        <v>48.0</v>
      </c>
      <c r="C167" s="28">
        <f t="shared" si="8"/>
        <v>386699.9855</v>
      </c>
      <c r="D167" s="28">
        <f t="shared" si="9"/>
        <v>260500</v>
      </c>
      <c r="E167" s="28">
        <f t="shared" si="10"/>
        <v>-126199.9855</v>
      </c>
      <c r="F167" s="28">
        <f t="shared" si="11"/>
        <v>-27563.84426</v>
      </c>
    </row>
    <row r="168" ht="15.75" customHeight="1">
      <c r="B168" s="22">
        <v>49.0</v>
      </c>
      <c r="C168" s="28">
        <f t="shared" si="8"/>
        <v>400959.5068</v>
      </c>
      <c r="D168" s="28">
        <f t="shared" si="9"/>
        <v>260500</v>
      </c>
      <c r="E168" s="28">
        <f t="shared" si="10"/>
        <v>-140459.5068</v>
      </c>
      <c r="F168" s="28">
        <f t="shared" si="11"/>
        <v>112895.6625</v>
      </c>
    </row>
    <row r="169" ht="15.75" customHeight="1">
      <c r="B169" s="22">
        <v>50.0</v>
      </c>
      <c r="C169" s="28">
        <f t="shared" si="8"/>
        <v>415744.8463</v>
      </c>
      <c r="D169" s="28">
        <f t="shared" si="9"/>
        <v>260500</v>
      </c>
      <c r="E169" s="28">
        <f t="shared" si="10"/>
        <v>-155244.8463</v>
      </c>
      <c r="F169" s="28">
        <f t="shared" si="11"/>
        <v>268140.5088</v>
      </c>
    </row>
    <row r="170" ht="15.75" customHeight="1">
      <c r="B170" s="22">
        <v>51.0</v>
      </c>
      <c r="C170" s="28">
        <f t="shared" si="8"/>
        <v>431075.3937</v>
      </c>
      <c r="D170" s="28">
        <f t="shared" si="9"/>
        <v>260500</v>
      </c>
      <c r="E170" s="28">
        <f t="shared" si="10"/>
        <v>-170575.3937</v>
      </c>
      <c r="F170" s="28">
        <f t="shared" si="11"/>
        <v>438715.9025</v>
      </c>
    </row>
    <row r="171" ht="15.75" customHeight="1">
      <c r="B171" s="22">
        <v>52.0</v>
      </c>
      <c r="C171" s="28">
        <f t="shared" si="8"/>
        <v>446971.2534</v>
      </c>
      <c r="D171" s="28">
        <f t="shared" si="9"/>
        <v>260500</v>
      </c>
      <c r="E171" s="28">
        <f t="shared" si="10"/>
        <v>-186471.2534</v>
      </c>
      <c r="F171" s="28">
        <f t="shared" si="11"/>
        <v>625187.156</v>
      </c>
    </row>
    <row r="172" ht="15.75" customHeight="1">
      <c r="B172" s="22">
        <v>53.0</v>
      </c>
      <c r="C172" s="28">
        <f t="shared" si="8"/>
        <v>463453.2713</v>
      </c>
      <c r="D172" s="28">
        <f t="shared" si="9"/>
        <v>260500</v>
      </c>
      <c r="E172" s="28">
        <f t="shared" si="10"/>
        <v>-202953.2713</v>
      </c>
      <c r="F172" s="28">
        <f t="shared" si="11"/>
        <v>828140.4273</v>
      </c>
    </row>
    <row r="173" ht="15.75" customHeight="1">
      <c r="B173" s="22">
        <v>54.0</v>
      </c>
      <c r="C173" s="28">
        <f t="shared" si="8"/>
        <v>480543.0618</v>
      </c>
      <c r="D173" s="28">
        <f t="shared" si="9"/>
        <v>260500</v>
      </c>
      <c r="E173" s="28">
        <f t="shared" si="10"/>
        <v>-220043.0618</v>
      </c>
      <c r="F173" s="28">
        <f t="shared" si="11"/>
        <v>1048183.489</v>
      </c>
    </row>
    <row r="174" ht="15.75" customHeight="1">
      <c r="B174" s="22">
        <v>55.0</v>
      </c>
      <c r="C174" s="28">
        <f t="shared" si="8"/>
        <v>498263.0366</v>
      </c>
      <c r="D174" s="28">
        <f t="shared" si="9"/>
        <v>260500</v>
      </c>
      <c r="E174" s="28">
        <f t="shared" si="10"/>
        <v>-237763.0366</v>
      </c>
      <c r="F174" s="28">
        <f t="shared" si="11"/>
        <v>1285946.526</v>
      </c>
    </row>
    <row r="175" ht="15.75" customHeight="1">
      <c r="B175" s="22">
        <v>56.0</v>
      </c>
      <c r="C175" s="28">
        <f t="shared" si="8"/>
        <v>516636.4336</v>
      </c>
      <c r="D175" s="28">
        <f t="shared" si="9"/>
        <v>260500</v>
      </c>
      <c r="E175" s="28">
        <f t="shared" si="10"/>
        <v>-256136.4336</v>
      </c>
      <c r="F175" s="28">
        <f t="shared" si="11"/>
        <v>1542082.959</v>
      </c>
    </row>
    <row r="176" ht="15.75" customHeight="1">
      <c r="B176" s="22">
        <v>57.0</v>
      </c>
      <c r="C176" s="28">
        <f t="shared" si="8"/>
        <v>535687.3476</v>
      </c>
      <c r="D176" s="28">
        <f t="shared" si="9"/>
        <v>260500</v>
      </c>
      <c r="E176" s="28">
        <f t="shared" si="10"/>
        <v>-275187.3476</v>
      </c>
      <c r="F176" s="28">
        <f t="shared" si="11"/>
        <v>1817270.307</v>
      </c>
    </row>
    <row r="177" ht="15.75" customHeight="1">
      <c r="B177" s="22">
        <v>58.0</v>
      </c>
      <c r="C177" s="28">
        <f t="shared" si="8"/>
        <v>555440.7621</v>
      </c>
      <c r="D177" s="28">
        <f t="shared" si="9"/>
        <v>260500</v>
      </c>
      <c r="E177" s="28">
        <f t="shared" si="10"/>
        <v>-294940.7621</v>
      </c>
      <c r="F177" s="28">
        <f t="shared" si="11"/>
        <v>2112211.069</v>
      </c>
    </row>
    <row r="178" ht="15.75" customHeight="1">
      <c r="B178" s="22">
        <v>59.0</v>
      </c>
      <c r="C178" s="28">
        <f t="shared" si="8"/>
        <v>575922.5817</v>
      </c>
      <c r="D178" s="28">
        <f t="shared" si="9"/>
        <v>260500</v>
      </c>
      <c r="E178" s="28">
        <f t="shared" si="10"/>
        <v>-315422.5817</v>
      </c>
      <c r="F178" s="28">
        <f t="shared" si="11"/>
        <v>2427633.651</v>
      </c>
    </row>
    <row r="179" ht="15.75" customHeight="1">
      <c r="B179" s="22">
        <v>60.0</v>
      </c>
      <c r="C179" s="28">
        <f t="shared" si="8"/>
        <v>597159.6662</v>
      </c>
      <c r="D179" s="28">
        <f t="shared" si="9"/>
        <v>260500</v>
      </c>
      <c r="E179" s="28">
        <f t="shared" si="10"/>
        <v>-336659.6662</v>
      </c>
      <c r="F179" s="28">
        <f t="shared" si="11"/>
        <v>2764293.317</v>
      </c>
    </row>
    <row r="180" ht="15.75" customHeight="1"/>
    <row r="181" ht="15.75" customHeight="1">
      <c r="A181" s="4" t="s">
        <v>231</v>
      </c>
      <c r="B181" s="2"/>
      <c r="C181" s="2"/>
      <c r="D181" s="2"/>
      <c r="E181" s="2"/>
      <c r="F181" s="2"/>
      <c r="G181" s="2"/>
      <c r="H181" s="2"/>
      <c r="I181" s="2"/>
      <c r="J181" s="2"/>
      <c r="K181" s="2"/>
      <c r="L181" s="2"/>
      <c r="M181" s="2"/>
      <c r="N181" s="2"/>
    </row>
    <row r="182" ht="15.75" customHeight="1">
      <c r="B182" s="21" t="s">
        <v>232</v>
      </c>
      <c r="C182" s="21" t="s">
        <v>233</v>
      </c>
      <c r="D182" s="21" t="s">
        <v>234</v>
      </c>
    </row>
    <row r="183" ht="15.75" customHeight="1">
      <c r="B183" s="29" t="s">
        <v>24</v>
      </c>
      <c r="C183" s="29" t="str">
        <f t="array" ref="C183">IF($C$50=1,"Green",IF($C$51&lt;N(INDIRECT("'01 Inputs'!C70")),"Red",IF($C$51&lt;N(INDIRECT("'01 Inputs'!C71")),"Amber","Green")))</f>
        <v>Green</v>
      </c>
      <c r="D183" s="29" t="str">
        <f>"Runway "&amp;$C$52&amp;IF($C$50=1,"."," at the "&amp;$C$40&amp;" month average net burn of "&amp;TEXT($C$44,"$#,##0")&amp;".")</f>
        <v>Runway 18.0 months at the 3 month average net burn of $195,000.</v>
      </c>
    </row>
    <row r="184" ht="15.75" customHeight="1">
      <c r="B184" s="29" t="s">
        <v>235</v>
      </c>
      <c r="C184" s="29" t="str">
        <f t="array" ref="C184">IF($C$76="dead",IF($C$51&lt;N(INDIRECT("'01 Inputs'!C71")),"Red","Amber"),IF(LEFT($C$76,5)="alive","Green","n/a"))</f>
        <v>Amber</v>
      </c>
      <c r="D184" s="29" t="str">
        <f>IF($C$76="dead","Default dead: at "&amp;TEXT($C$49,"0.0%")&amp;" a month and flat spending, cash runs out "&amp;IF($C$78&gt;0,"in "&amp;TEXT($C$79,"mmmm yyyy"),"after 60 months")&amp;IF($C$74="",", and revenue never covers spending.",IF($C$74&gt;60,", and revenue does not cover spending within five years.",", before revenue covers spending in "&amp;TEXT($C$77,"mmmm yyyy")&amp;"."))&amp;" Growth needed: "&amp;$C$83&amp;".",IF($C$76="alive","Default alive: revenue covers spending in "&amp;TEXT($C$77,"mmmm yyyy")&amp;" with "&amp;TEXT($C$75,"$#,##0")&amp;" left at the low point.","Default alive test: "&amp;$C$76&amp;"."))</f>
        <v>Default dead: at 3.7% a month and flat spending, cash runs out in September 2028, before revenue covers spending in November 2029. Growth needed: 4.5% a month, vs 3.7% now.</v>
      </c>
    </row>
    <row r="185" ht="15.75" customHeight="1">
      <c r="B185" s="29" t="s">
        <v>236</v>
      </c>
      <c r="C185" s="29" t="str">
        <f>IF(ISNUMBER($C$47),IF($C$47&lt;0,"Amber","Green"),"n/a")</f>
        <v>Green</v>
      </c>
      <c r="D185" s="29" t="str">
        <f>IF(ISNUMBER($C$47),IF($C$47&lt;0,"Revenue fell "&amp;TEXT(-$C$47,"0.0%")&amp;" from last month. Say why before they ask.","Revenue up "&amp;TEXT($C$47,"0.0%")&amp;" on last month."),IF($C$32&lt;2,"Needs two months.","No revenue last month to compare."))</f>
        <v>Revenue up 3.8% on last month.</v>
      </c>
    </row>
    <row r="186" ht="15.75" customHeight="1">
      <c r="B186" s="29" t="s">
        <v>237</v>
      </c>
      <c r="C186" s="29" t="str">
        <f>IF($C$37&lt;=0,"n/a",IF(ISNUMBER($C$55),IF($C$55&gt;2,"Amber","Green"),IF($C$56="no net new revenue","Amber","n/a")))</f>
        <v>Amber</v>
      </c>
      <c r="D186" s="29" t="str">
        <f>IF(ISNUMBER($C$55),"Burn multiple "&amp;TEXT($C$55,"0.0")&amp;"x over "&amp;$C$54&amp;" ("&amp;$C$56&amp;" on the 2020 scale)."&amp;IF($C$55&gt;2," Expect the question; the plan line should answer it.",""),IF($C$37&lt;=0,"Pre-revenue; not meaningful yet.","Burn multiple: "&amp;$C$56&amp;"."))</f>
        <v>Burn multiple 7.0x over the last 3 months (Bad on the 2020 scale). Expect the question; the plan line should answer it.</v>
      </c>
    </row>
    <row r="187" ht="15.75" customHeight="1">
      <c r="B187" s="29" t="s">
        <v>238</v>
      </c>
      <c r="C187" s="29" t="str">
        <f>IF(OR(AND($C$60=1,$C$57=0),AND($C$61=1,$C$58=0),AND($C$62=1,$C$59=0)),"Amber","Green")</f>
        <v>Green</v>
      </c>
      <c r="D187" s="29" t="str">
        <f t="array" ref="D187">IF($C$187="Amber","Reported last month, missing this month: "&amp;TRIM(IF(AND($C$60=1,$C$57=0),"customers ","")&amp;IF(AND($C$61=1,$C$58=0),"headcount ","")&amp;IF(AND($C$62=1,$C$59=0),INDIRECT("'01 Inputs'!C16"),""))&amp;". Report it, or say why you stopped tracking it.","Same metrics as last month.")</f>
        <v>Same metrics as last month.</v>
      </c>
    </row>
    <row r="188" ht="15.75" customHeight="1">
      <c r="B188" s="29" t="s">
        <v>239</v>
      </c>
      <c r="C188" s="29" t="str">
        <f t="array" ref="C188">IF(AND(INDIRECT("'01 Inputs'!C52")="",INDIRECT("'01 Inputs'!C53")="",INDIRECT("'01 Inputs'!C54")=""),"Amber","Green")</f>
        <v>Green</v>
      </c>
      <c r="D188" s="29" t="str">
        <f>IF($C$188="Amber","No asks. Your investors want to help; give them one specific thing.","Asks are in, near the top.")</f>
        <v>Asks are in, near the top.</v>
      </c>
    </row>
    <row r="189" ht="15.75" customHeight="1">
      <c r="B189" s="29" t="s">
        <v>240</v>
      </c>
      <c r="C189" s="29" t="str">
        <f t="array" ref="C189">IF(AND(OR($C$183="Red",$C$184="Red"),INDIRECT("'01 Inputs'!C51")=""),"Amber","Green")</f>
        <v>Green</v>
      </c>
      <c r="D189" s="29" t="str">
        <f>IF($C$189="Amber","Something is red and there is no plan line. Add what you are changing and by when.","Every red flag has a plan line.")</f>
        <v>Every red flag has a plan line.</v>
      </c>
    </row>
    <row r="190" ht="15.75" customHeight="1">
      <c r="B190" s="16" t="s">
        <v>241</v>
      </c>
      <c r="C190" s="22">
        <f>COUNTIF(C183:C189,"Red")</f>
        <v>0</v>
      </c>
    </row>
    <row r="191" ht="15.75" customHeight="1">
      <c r="B191" s="16" t="s">
        <v>242</v>
      </c>
      <c r="C191" s="22">
        <f>COUNTIF(C183:C189,"Amber")</f>
        <v>2</v>
      </c>
    </row>
    <row r="192" ht="15.75" customHeight="1">
      <c r="B192" s="16" t="s">
        <v>243</v>
      </c>
      <c r="C192" s="40" t="str">
        <f t="array" ref="C192">IF(INDIRECT("'98 Checks'!C5")&lt;&gt;"PASS","Do not send yet: fix what 98 Checks flags",IF($C$190&gt;0,"Ready. "&amp;$C$190&amp;" red flag"&amp;IF($C$190&gt;1,"s lead"," leads")&amp;" the TL;DR",IF($C$191&gt;0,"Ready. Read the "&amp;$C$191&amp;" amber flag"&amp;IF($C$191&gt;1,"s","")&amp;" first","Ready to send")))</f>
        <v>Ready. Read the 2 amber flags first</v>
      </c>
    </row>
    <row r="193" ht="15.75" customHeight="1">
      <c r="B193" s="16" t="s">
        <v>244</v>
      </c>
      <c r="C193" s="40" t="str">
        <f t="array" ref="C193">TRIM(IF(INDIRECT("'98 Checks'!C5")&lt;&gt;"PASS","Something in the log does not add up"&amp;IF($C$64&lt;&gt;""," (cash does not tie out in "&amp;TEXT($C$64,"mmmm yyyy")&amp;")","")&amp;". Open 98 Checks before you send anything.",$C$36&amp;": "&amp;INDIRECT("'01 Inputs'!C14")&amp;" "&amp;TEXT($C$37,"$#,##0")&amp;IF(ISNUMBER($C$47),", "&amp;TEXT($C$47,"+0.0%;-0.0%")&amp;" on last month","")&amp;". "&amp;IF($C$50=1,"Cash flow positive. ","Runway "&amp;$C$52&amp;". ")&amp;IF($C$76="pre-revenue","Pre-revenue, so default alive does not apply yet. ","")&amp;IF($C$76="dead","Default dead: you need "&amp;TEXT($C$82,"0.0%")&amp;" a month and you are "&amp;IF($C$49&lt;0,"shrinking "&amp;TEXT(-$C$49,"0.0%"),"growing "&amp;TEXT($C$49,"0.0%"))&amp;IF($C$39=1," a month."," a month over "&amp;$C$54&amp;"."),IF(LEFT($C$76,5)="alive","Default alive.",""))&amp;IF($C$190+$C$191&gt;0," "&amp;IF($C$190&gt;0,$C$190&amp;" red","")&amp;IF(AND($C$190&gt;0,$C$191&gt;0)," and ","")&amp;IF($C$191&gt;0,$C$191&amp;" amber","")&amp;" flag"&amp;IF($C$190+$C$191&gt;1,"s","")&amp;" on 03 Outputs.","")))</f>
        <v>September 2026: MRR $68,000, +3.8% on last month. Runway 18.0 months. Default dead: you need 4.5% a month and you are growing 3.7% a month over the last 3 months. 2 amber flags on 03 Outputs.</v>
      </c>
    </row>
    <row r="194" ht="15.75" customHeight="1"/>
    <row r="195" ht="15.75" customHeight="1">
      <c r="A195" s="4" t="s">
        <v>245</v>
      </c>
      <c r="B195" s="2"/>
      <c r="C195" s="2"/>
      <c r="D195" s="2"/>
      <c r="E195" s="2"/>
      <c r="F195" s="2"/>
      <c r="G195" s="2"/>
      <c r="H195" s="2"/>
      <c r="I195" s="2"/>
      <c r="J195" s="2"/>
      <c r="K195" s="2"/>
      <c r="L195" s="2"/>
      <c r="M195" s="2"/>
      <c r="N195" s="2"/>
    </row>
    <row r="196" ht="15.75" customHeight="1">
      <c r="B196" s="21" t="s">
        <v>52</v>
      </c>
      <c r="C196" s="21" t="s">
        <v>246</v>
      </c>
      <c r="D196" s="21" t="s">
        <v>247</v>
      </c>
    </row>
    <row r="197" ht="15.75" customHeight="1">
      <c r="B197" s="22">
        <v>1.0</v>
      </c>
      <c r="C197" s="22">
        <f>IF(D197="","",1)</f>
        <v>1</v>
      </c>
      <c r="D197" s="29" t="str">
        <f t="array" ref="D197">"Subject: "&amp;INDIRECT("'01 Inputs'!C12")&amp;" update, "&amp;$C$36&amp;": "&amp;INDIRECT("'01 Inputs'!C14")&amp;" "&amp;TEXT($C$37,"$#,##0")&amp;IF(ISNUMBER($C$47),", "&amp;TEXT($C$47,"+0.0%;-0.0%")&amp;" MoM","")</f>
        <v>Subject: Example Co update, September 2026: MRR $68,000, +3.8% MoM</v>
      </c>
    </row>
    <row r="198" ht="15.75" customHeight="1">
      <c r="B198" s="22">
        <v>2.0</v>
      </c>
      <c r="C198" s="22">
        <f t="shared" ref="C198:C242" si="12">IF(D198="","",COUNT(C$197:C197)+1)</f>
        <v>2</v>
      </c>
      <c r="D198" s="29" t="str">
        <f>" "</f>
        <v> </v>
      </c>
    </row>
    <row r="199" ht="15.75" customHeight="1">
      <c r="B199" s="22">
        <v>3.0</v>
      </c>
      <c r="C199" s="22">
        <f t="shared" si="12"/>
        <v>3</v>
      </c>
      <c r="D199" s="29" t="str">
        <f>"Hi all,"</f>
        <v>Hi all,</v>
      </c>
    </row>
    <row r="200" ht="15.75" customHeight="1">
      <c r="B200" s="22">
        <v>4.0</v>
      </c>
      <c r="C200" s="22">
        <f t="shared" si="12"/>
        <v>4</v>
      </c>
      <c r="D200" s="29" t="str">
        <f>" "</f>
        <v> </v>
      </c>
    </row>
    <row r="201" ht="15.75" customHeight="1">
      <c r="B201" s="22">
        <v>5.0</v>
      </c>
      <c r="C201" s="22">
        <f t="shared" si="12"/>
        <v>5</v>
      </c>
      <c r="D201" s="29" t="str">
        <f t="array" ref="D201">IF(INDIRECT("'01 Inputs'!C49")&lt;&gt;"",INDIRECT("'01 Inputs'!C49"),"")</f>
        <v>Example Co sells scheduling software to multi-site dental groups.</v>
      </c>
    </row>
    <row r="202" ht="15.75" customHeight="1">
      <c r="B202" s="22">
        <v>6.0</v>
      </c>
      <c r="C202" s="22">
        <f t="shared" si="12"/>
        <v>6</v>
      </c>
      <c r="D202" s="29" t="str">
        <f t="array" ref="D202">TRIM("TL;DR: "&amp;IF($C$190&gt;0,IF($C$183="Red","Runway is "&amp;$C$52&amp;" at our "&amp;$C$40&amp;" month average burn. ","")&amp;IF($C$184="Red","We are default dead: at "&amp;TEXT($C$49,"0.0%")&amp;" a month and flat spending, cash runs out "&amp;IF($C$78&gt;0,"in "&amp;TEXT($C$79,"mmmm yyyy"),"after 60 months")&amp;IF(AND($C$74&lt;&gt;"",$C$78&gt;0),IF($C$74&gt;60,", and revenue does not cover spending within five years",", "&amp;($C$74-$C$78)&amp;" months before revenue covers spending"),"")&amp;". ","")&amp;IF(INDIRECT("'01 Inputs'!C51")&lt;&gt;"",INDIRECT("'01 Inputs'!C51")&amp;" ","[Add your plan: what you are changing and by when.] "),"")&amp;INDIRECT("'01 Inputs'!C14")&amp;" "&amp;TEXT($C$37,"$#,##0")&amp;IF(ISNUMBER($C$47)," ("&amp;TEXT($C$47,"+0.0%;-0.0%")&amp;" on last month"&amp;IF(AND(ISNUMBER($C$48),$C$39&gt;1),", "&amp;TEXT($C$48,"0.0%")&amp;" a month over "&amp;$C$39&amp;" months","")&amp;")","")&amp;". "&amp;IF($C$183="Red","",IF($C$50=1,"Cash flow positive. ","Runway "&amp;$C$52&amp;". "))&amp;IF(INDIRECT("'01 Inputs'!C50")&lt;&gt;"",INDIRECT("'01 Inputs'!C50")&amp;" ","")&amp;IF(AND($C$190=0,$C$191&gt;0,INDIRECT("'01 Inputs'!C51")&lt;&gt;""),INDIRECT("'01 Inputs'!C51"),""))</f>
        <v>TL;DR: MRR $68,000 (+3.8% on last month, 3.7% a month over 3 months). Runway 18.0 months. Two new groups signed. Growth is below plan and we are acting on it. Plan: hold headcount at 13, cut $25K a month of tools and contractors by December, and focus sales on groups with 10 or more sites.</v>
      </c>
    </row>
    <row r="203" ht="15.75" customHeight="1">
      <c r="B203" s="22">
        <v>7.0</v>
      </c>
      <c r="C203" s="22">
        <f t="shared" si="12"/>
        <v>7</v>
      </c>
      <c r="D203" s="29" t="str">
        <f>" "</f>
        <v> </v>
      </c>
    </row>
    <row r="204" ht="15.75" customHeight="1">
      <c r="B204" s="22">
        <v>8.0</v>
      </c>
      <c r="C204" s="22">
        <f t="shared" si="12"/>
        <v>8</v>
      </c>
      <c r="D204" s="29" t="str">
        <f>"NUMBERS, "&amp;UPPER($C$36)</f>
        <v>NUMBERS, SEPTEMBER 2026</v>
      </c>
    </row>
    <row r="205" ht="15.75" customHeight="1">
      <c r="B205" s="22">
        <v>9.0</v>
      </c>
      <c r="C205" s="22">
        <f t="shared" si="12"/>
        <v>9</v>
      </c>
      <c r="D205" s="29" t="str">
        <f t="array" ref="D205">INDIRECT("'01 Inputs'!C14")&amp;": "&amp;TEXT($C$37,"$#,##0")&amp;IF($C$32&gt;=2," (last month "&amp;TEXT($C$38,"$#,##0")&amp;IF(ISNUMBER($C$47),", "&amp;TEXT($C$47,"+0.0%;-0.0%"),"")&amp;")","")</f>
        <v>MRR: $68,000 (last month $65,500, +3.8%)</v>
      </c>
    </row>
    <row r="206" ht="15.75" customHeight="1">
      <c r="B206" s="22">
        <v>10.0</v>
      </c>
      <c r="C206" s="22">
        <f t="shared" si="12"/>
        <v>10</v>
      </c>
      <c r="D206" s="29" t="str">
        <f>"Annualized: "&amp;TEXT(12*$C$37,"$#,##0")</f>
        <v>Annualized: $816,000</v>
      </c>
    </row>
    <row r="207" ht="15.75" customHeight="1">
      <c r="B207" s="22">
        <v>11.0</v>
      </c>
      <c r="C207" s="22">
        <f t="shared" si="12"/>
        <v>11</v>
      </c>
      <c r="D207" s="29" t="str">
        <f>IF(AND(ISNUMBER($C$48),$C$39&gt;1),"Growth: "&amp;TEXT($C$48,"0.0%")&amp;" a month, compounded over the last "&amp;$C$39&amp;" months","")</f>
        <v>Growth: 3.7% a month, compounded over the last 3 months</v>
      </c>
    </row>
    <row r="208" ht="15.75" customHeight="1">
      <c r="B208" s="22">
        <v>12.0</v>
      </c>
      <c r="C208" s="22">
        <f t="shared" si="12"/>
        <v>12</v>
      </c>
      <c r="D208" s="29" t="str">
        <f>IF($C$57=1,"Customers: "&amp;TEXT($C$65,"#,##0")&amp;IF($C$60=1," (last month "&amp;TEXT($C$66,"#,##0")&amp;")",""),"")</f>
        <v>Customers: 45 (last month 43)</v>
      </c>
    </row>
    <row r="209" ht="15.75" customHeight="1">
      <c r="B209" s="22">
        <v>13.0</v>
      </c>
      <c r="C209" s="22">
        <f t="shared" si="12"/>
        <v>13</v>
      </c>
      <c r="D209" s="29" t="str">
        <f>IF($C$58=1,"Headcount: "&amp;TEXT($C$67,"#,##0")&amp;IF($C$61=1," (last month "&amp;TEXT($C$68,"#,##0")&amp;")",""),"")</f>
        <v>Headcount: 13 (last month 13)</v>
      </c>
    </row>
    <row r="210" ht="15.75" customHeight="1">
      <c r="B210" s="22">
        <v>14.0</v>
      </c>
      <c r="C210" s="22">
        <f t="shared" si="12"/>
        <v>14</v>
      </c>
      <c r="D210" s="29" t="str">
        <f t="array" ref="D210">IF($C$59=1,INDIRECT("'01 Inputs'!C16")&amp;": "&amp;IF(INDIRECT("'01 Inputs'!C17")="Percent",TEXT($C$69,"0%"),IF(INDIRECT("'01 Inputs'!C17")="Dollars",TEXT($C$69,"$#,##0"),TEXT($C$69,"#,##0.##")))&amp;IF($C$62=1," (last month "&amp;IF(INDIRECT("'01 Inputs'!C17")="Percent",TEXT($C$70,"0%"),IF(INDIRECT("'01 Inputs'!C17")="Dollars",TEXT($C$70,"$#,##0"),TEXT($C$70,"#,##0.##")))&amp;")",""),"")</f>
        <v>Net revenue retention: 101% (last month 98%)</v>
      </c>
    </row>
    <row r="211" ht="15.75" customHeight="1">
      <c r="B211" s="22">
        <v>15.0</v>
      </c>
      <c r="C211" s="22">
        <f t="shared" si="12"/>
        <v>15</v>
      </c>
      <c r="D211" s="29" t="str">
        <f>"Cash at month end: "&amp;TEXT($C$42,"$#,##0")</f>
        <v>Cash at month end: $3,515,000</v>
      </c>
    </row>
    <row r="212" ht="15.75" customHeight="1">
      <c r="B212" s="22">
        <v>16.0</v>
      </c>
      <c r="C212" s="22">
        <f t="shared" si="12"/>
        <v>16</v>
      </c>
      <c r="D212" s="29" t="str">
        <f>"Net burn: "&amp;TEXT($C$43,"$#,##0")&amp;" this month"&amp;IF($C$40&gt;1,", "&amp;TEXT($C$44,"$#,##0")&amp;" a month on average over the last "&amp;$C$40&amp;" months","")</f>
        <v>Net burn: $205,000 this month, $195,000 a month on average over the last 3 months</v>
      </c>
    </row>
    <row r="213" ht="15.75" customHeight="1">
      <c r="B213" s="22">
        <v>17.0</v>
      </c>
      <c r="C213" s="22">
        <f t="shared" si="12"/>
        <v>17</v>
      </c>
      <c r="D213" s="29" t="str">
        <f>"Runway: "&amp;$C$52&amp;IF($C$50=1,"",", to about "&amp;TEXT($C$53,"mmmm yyyy")&amp;" at that burn")</f>
        <v>Runway: 18.0 months, to about March 2028 at that burn</v>
      </c>
    </row>
    <row r="214" ht="15.75" customHeight="1">
      <c r="B214" s="22">
        <v>18.0</v>
      </c>
      <c r="C214" s="22">
        <f t="shared" si="12"/>
        <v>18</v>
      </c>
      <c r="D214" s="29" t="str">
        <f>IF(ISNUMBER($C$55),"Burn multiple: "&amp;TEXT($C$55,"0.0")&amp;"x over "&amp;$C$54,"")</f>
        <v>Burn multiple: 7.0x over the last 3 months</v>
      </c>
    </row>
    <row r="215" ht="15.75" customHeight="1">
      <c r="B215" s="22">
        <v>19.0</v>
      </c>
      <c r="C215" s="22">
        <f t="shared" si="12"/>
        <v>19</v>
      </c>
      <c r="D215" s="29" t="str">
        <f t="array" ref="D215">IF(INDIRECT("'01 Inputs'!C65")="No","",IF($C$76="dead","Default alive: no. At "&amp;TEXT($C$49,"0.0%")&amp;" a month and flat spending, cash runs out "&amp;IF($C$78&gt;0,"in "&amp;TEXT($C$79,"mmmm yyyy"),"after 60 months")&amp;IF($C$74="",", and revenue never covers spending.",IF($C$74&gt;60,", and revenue does not cover spending within five years.",IF($C$78&gt;0,", "&amp;($C$74-$C$78)&amp;" months before revenue covers spending.",".")))&amp;IF($C$81=1," "&amp;TEXT($C$82,"0.0%")&amp;" a month would get us there.",""),IF($C$76="alive","Default alive: yes. At "&amp;TEXT($C$49,"0.0%")&amp;" a month and flat spending, revenue covers spending in "&amp;TEXT($C$77,"mmmm yyyy")&amp;".",IF($C$76="alive (revenue covers spending)","Default alive: yes. Revenue already covers spending.",""))))</f>
        <v>Default alive: no. At 3.7% a month and flat spending, cash runs out in September 2028, 14 months before revenue covers spending. 4.5% a month would get us there.</v>
      </c>
    </row>
    <row r="216" ht="15.75" customHeight="1">
      <c r="B216" s="22">
        <v>20.0</v>
      </c>
      <c r="C216" s="22">
        <f t="shared" si="12"/>
        <v>20</v>
      </c>
      <c r="D216" s="29" t="str">
        <f>" "</f>
        <v> </v>
      </c>
    </row>
    <row r="217" ht="15.75" customHeight="1">
      <c r="B217" s="22">
        <v>21.0</v>
      </c>
      <c r="C217" s="22">
        <f t="shared" si="12"/>
        <v>21</v>
      </c>
      <c r="D217" s="29" t="str">
        <f t="array" ref="D217">IF((INDIRECT("'01 Inputs'!C52")&amp;INDIRECT("'01 Inputs'!C53")&amp;INDIRECT("'01 Inputs'!C54")&lt;&gt;""),"ASKS","")</f>
        <v>ASKS</v>
      </c>
    </row>
    <row r="218" ht="15.75" customHeight="1">
      <c r="B218" s="22">
        <v>22.0</v>
      </c>
      <c r="C218" s="22">
        <f t="shared" si="12"/>
        <v>22</v>
      </c>
      <c r="D218" s="29" t="str">
        <f t="array" ref="D218">IF(INDIRECT("'01 Inputs'!C52")&lt;&gt;"","1. "&amp;INDIRECT("'01 Inputs'!C52"),"")</f>
        <v>1. Intros to heads of operations at dental groups with 20 or more sites.</v>
      </c>
    </row>
    <row r="219" ht="15.75" customHeight="1">
      <c r="B219" s="22">
        <v>23.0</v>
      </c>
      <c r="C219" s="22">
        <f t="shared" si="12"/>
        <v>23</v>
      </c>
      <c r="D219" s="29" t="str">
        <f t="array" ref="D219">IF(INDIRECT("'01 Inputs'!C53")&lt;&gt;"",((INDIRECT("'01 Inputs'!C52")&lt;&gt;"")+1)&amp;". "&amp;INDIRECT("'01 Inputs'!C53"),"")</f>
        <v>2. A referral for a senior account executive who has sold into healthcare.</v>
      </c>
    </row>
    <row r="220" ht="15.75" customHeight="1">
      <c r="B220" s="22">
        <v>24.0</v>
      </c>
      <c r="C220" s="22" t="str">
        <f t="shared" si="12"/>
        <v/>
      </c>
      <c r="D220" s="29" t="str">
        <f t="array" ref="D220">IF(INDIRECT("'01 Inputs'!C54")&lt;&gt;"",((INDIRECT("'01 Inputs'!C52")&lt;&gt;"")+(INDIRECT("'01 Inputs'!C53")&lt;&gt;"")+1)&amp;". "&amp;INDIRECT("'01 Inputs'!C54"),"")</f>
        <v/>
      </c>
    </row>
    <row r="221" ht="15.75" customHeight="1">
      <c r="B221" s="22">
        <v>25.0</v>
      </c>
      <c r="C221" s="22">
        <f t="shared" si="12"/>
        <v>24</v>
      </c>
      <c r="D221" s="29" t="str">
        <f t="array" ref="D221">IF((INDIRECT("'01 Inputs'!C52")&amp;INDIRECT("'01 Inputs'!C53")&amp;INDIRECT("'01 Inputs'!C54")&lt;&gt;"")," ","")</f>
        <v> </v>
      </c>
    </row>
    <row r="222" ht="15.75" customHeight="1">
      <c r="B222" s="22">
        <v>26.0</v>
      </c>
      <c r="C222" s="22">
        <f t="shared" si="12"/>
        <v>25</v>
      </c>
      <c r="D222" s="29" t="str">
        <f t="array" ref="D222">IF((INDIRECT("'01 Inputs'!C55")&amp;INDIRECT("'01 Inputs'!C56")&amp;INDIRECT("'01 Inputs'!C57")&lt;&gt;""),"HIGHLIGHTS","")</f>
        <v>HIGHLIGHTS</v>
      </c>
    </row>
    <row r="223" ht="15.75" customHeight="1">
      <c r="B223" s="22">
        <v>27.0</v>
      </c>
      <c r="C223" s="22">
        <f t="shared" si="12"/>
        <v>26</v>
      </c>
      <c r="D223" s="29" t="str">
        <f t="array" ref="D223">IF(INDIRECT("'01 Inputs'!C55")&lt;&gt;"","• "&amp;INDIRECT("'01 Inputs'!C55"),"")</f>
        <v>• Signed two groups with 14 sites between them.</v>
      </c>
    </row>
    <row r="224" ht="15.75" customHeight="1">
      <c r="B224" s="22">
        <v>28.0</v>
      </c>
      <c r="C224" s="22">
        <f t="shared" si="12"/>
        <v>27</v>
      </c>
      <c r="D224" s="29" t="str">
        <f t="array" ref="D224">IF(INDIRECT("'01 Inputs'!C56")&lt;&gt;"","• "&amp;INDIRECT("'01 Inputs'!C56"),"")</f>
        <v>• Shipped multi-location reporting; 12 customers use it weekly.</v>
      </c>
    </row>
    <row r="225" ht="15.75" customHeight="1">
      <c r="B225" s="22">
        <v>29.0</v>
      </c>
      <c r="C225" s="22" t="str">
        <f t="shared" si="12"/>
        <v/>
      </c>
      <c r="D225" s="29" t="str">
        <f t="array" ref="D225">IF(INDIRECT("'01 Inputs'!C57")&lt;&gt;"","• "&amp;INDIRECT("'01 Inputs'!C57"),"")</f>
        <v/>
      </c>
    </row>
    <row r="226" ht="15.75" customHeight="1">
      <c r="B226" s="22">
        <v>30.0</v>
      </c>
      <c r="C226" s="22">
        <f t="shared" si="12"/>
        <v>28</v>
      </c>
      <c r="D226" s="29" t="str">
        <f t="array" ref="D226">IF((INDIRECT("'01 Inputs'!C55")&amp;INDIRECT("'01 Inputs'!C56")&amp;INDIRECT("'01 Inputs'!C57")&lt;&gt;"")," ","")</f>
        <v> </v>
      </c>
    </row>
    <row r="227" ht="15.75" customHeight="1">
      <c r="B227" s="22">
        <v>31.0</v>
      </c>
      <c r="C227" s="22">
        <f t="shared" si="12"/>
        <v>29</v>
      </c>
      <c r="D227" s="29" t="str">
        <f t="array" ref="D227">IF((INDIRECT("'01 Inputs'!C58")&amp;INDIRECT("'01 Inputs'!C60")&lt;&gt;""),"LOWLIGHTS","")</f>
        <v>LOWLIGHTS</v>
      </c>
    </row>
    <row r="228" ht="15.75" customHeight="1">
      <c r="B228" s="22">
        <v>32.0</v>
      </c>
      <c r="C228" s="22">
        <f t="shared" si="12"/>
        <v>30</v>
      </c>
      <c r="D228" s="29" t="str">
        <f t="array" ref="D228">IF(INDIRECT("'01 Inputs'!C58")&lt;&gt;"","• "&amp;INDIRECT("'01 Inputs'!C58")&amp;IF(INDIRECT("'01 Inputs'!C59")&lt;&gt;""," What we are changing: "&amp;INDIRECT("'01 Inputs'!C59"),""),"")</f>
        <v>• Growth was 3.8% this month against a 6% plan. Two deals slipped to October. What we are changing: Weekly pipeline review with the founders; no new spend until the two deals close.</v>
      </c>
    </row>
    <row r="229" ht="15.75" customHeight="1">
      <c r="B229" s="22">
        <v>33.0</v>
      </c>
      <c r="C229" s="22" t="str">
        <f t="shared" si="12"/>
        <v/>
      </c>
      <c r="D229" s="29" t="str">
        <f t="array" ref="D229">IF(INDIRECT("'01 Inputs'!C60")&lt;&gt;"","• "&amp;INDIRECT("'01 Inputs'!C60")&amp;IF(INDIRECT("'01 Inputs'!C61")&lt;&gt;""," What we are changing: "&amp;INDIRECT("'01 Inputs'!C61"),""),"")</f>
        <v/>
      </c>
    </row>
    <row r="230" ht="15.75" customHeight="1">
      <c r="B230" s="22">
        <v>34.0</v>
      </c>
      <c r="C230" s="22">
        <f t="shared" si="12"/>
        <v>31</v>
      </c>
      <c r="D230" s="29" t="str">
        <f t="array" ref="D230">IF((INDIRECT("'01 Inputs'!C58")&amp;INDIRECT("'01 Inputs'!C60")&lt;&gt;"")," ","")</f>
        <v> </v>
      </c>
    </row>
    <row r="231" ht="15.75" customHeight="1">
      <c r="B231" s="22">
        <v>35.0</v>
      </c>
      <c r="C231" s="22">
        <f t="shared" si="12"/>
        <v>32</v>
      </c>
      <c r="D231" s="29" t="str">
        <f t="array" ref="D231">IF((INDIRECT("'01 Inputs'!C62")&amp;INDIRECT("'01 Inputs'!C63")&lt;&gt;""),"NEXT MONTH","")</f>
        <v>NEXT MONTH</v>
      </c>
    </row>
    <row r="232" ht="15.75" customHeight="1">
      <c r="B232" s="22">
        <v>36.0</v>
      </c>
      <c r="C232" s="22">
        <f t="shared" si="12"/>
        <v>33</v>
      </c>
      <c r="D232" s="29" t="str">
        <f t="array" ref="D232">IF(INDIRECT("'01 Inputs'!C62")&lt;&gt;"","• "&amp;INDIRECT("'01 Inputs'!C62"),"")</f>
        <v>• Close the two slipped deals.</v>
      </c>
    </row>
    <row r="233" ht="15.75" customHeight="1">
      <c r="B233" s="22">
        <v>37.0</v>
      </c>
      <c r="C233" s="22">
        <f t="shared" si="12"/>
        <v>34</v>
      </c>
      <c r="D233" s="29" t="str">
        <f t="array" ref="D233">IF(INDIRECT("'01 Inputs'!C63")&lt;&gt;"","• "&amp;INDIRECT("'01 Inputs'!C63"),"")</f>
        <v>• Hire the senior account executive.</v>
      </c>
    </row>
    <row r="234" ht="15.75" customHeight="1">
      <c r="B234" s="22">
        <v>38.0</v>
      </c>
      <c r="C234" s="22">
        <f t="shared" si="12"/>
        <v>35</v>
      </c>
      <c r="D234" s="29" t="str">
        <f t="array" ref="D234">IF((INDIRECT("'01 Inputs'!C62")&amp;INDIRECT("'01 Inputs'!C63")&lt;&gt;"")," ","")</f>
        <v> </v>
      </c>
    </row>
    <row r="235" ht="15.75" customHeight="1">
      <c r="B235" s="22">
        <v>39.0</v>
      </c>
      <c r="C235" s="22">
        <f t="shared" si="12"/>
        <v>36</v>
      </c>
      <c r="D235" s="29" t="str">
        <f t="array" ref="D235">IF(INDIRECT("'01 Inputs'!C64")&lt;&gt;"",INDIRECT("'01 Inputs'!C64"),"")</f>
        <v>Thanks to everyone who sent intros last month; three became pilots.</v>
      </c>
    </row>
    <row r="236" ht="15.75" customHeight="1">
      <c r="B236" s="22">
        <v>40.0</v>
      </c>
      <c r="C236" s="22">
        <f t="shared" si="12"/>
        <v>37</v>
      </c>
      <c r="D236" s="29" t="str">
        <f t="array" ref="D236">IF(INDIRECT("'01 Inputs'!C64")&lt;&gt;""," ","")</f>
        <v> </v>
      </c>
    </row>
    <row r="237" ht="15.75" customHeight="1">
      <c r="B237" s="22">
        <v>41.0</v>
      </c>
      <c r="C237" s="22">
        <f t="shared" si="12"/>
        <v>38</v>
      </c>
      <c r="D237" s="29" t="str">
        <f t="array" ref="D237">"Raise: "&amp;INDIRECT("'01 Inputs'!C66")&amp;IF(INDIRECT("'01 Inputs'!C67")&lt;&gt;"",". "&amp;INDIRECT("'01 Inputs'!C67"),"")&amp;"."</f>
        <v>Raise: Raising in 6 to 12 months.</v>
      </c>
    </row>
    <row r="238" ht="15.75" customHeight="1">
      <c r="B238" s="22">
        <v>42.0</v>
      </c>
      <c r="C238" s="22">
        <f t="shared" si="12"/>
        <v>39</v>
      </c>
      <c r="D238" s="29" t="str">
        <f>" "</f>
        <v> </v>
      </c>
    </row>
    <row r="239" ht="15.75" customHeight="1">
      <c r="B239" s="22">
        <v>43.0</v>
      </c>
      <c r="C239" s="22">
        <f t="shared" si="12"/>
        <v>40</v>
      </c>
      <c r="D239" s="29" t="str">
        <f>"Definitions: net burn is cash out minus cash in before new financing. Runway is cash divided by average net burn over the last "&amp;$C$40&amp;" months."</f>
        <v>Definitions: net burn is cash out minus cash in before new financing. Runway is cash divided by average net burn over the last 3 months.</v>
      </c>
    </row>
    <row r="240" ht="15.75" customHeight="1">
      <c r="B240" s="22">
        <v>44.0</v>
      </c>
      <c r="C240" s="22">
        <f t="shared" si="12"/>
        <v>41</v>
      </c>
      <c r="D240" s="29" t="str">
        <f>" "</f>
        <v> </v>
      </c>
    </row>
    <row r="241" ht="15.75" customHeight="1">
      <c r="B241" s="22">
        <v>45.0</v>
      </c>
      <c r="C241" s="22">
        <f t="shared" si="12"/>
        <v>42</v>
      </c>
      <c r="D241" s="29" t="str">
        <f>"Thanks,"</f>
        <v>Thanks,</v>
      </c>
    </row>
    <row r="242" ht="15.75" customHeight="1">
      <c r="B242" s="22">
        <v>46.0</v>
      </c>
      <c r="C242" s="22">
        <f t="shared" si="12"/>
        <v>43</v>
      </c>
      <c r="D242" s="29" t="str">
        <f t="array" ref="D242">INDIRECT("'01 Inputs'!C13")</f>
        <v>Sam</v>
      </c>
    </row>
    <row r="243" ht="15.75" customHeight="1">
      <c r="B243" s="16" t="s">
        <v>248</v>
      </c>
      <c r="C243" s="22">
        <f>COUNT(C197:C242)</f>
        <v>43</v>
      </c>
    </row>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C183:C189">
    <cfRule type="expression" dxfId="0" priority="1">
      <formula>ISNUMBER(SEARCH("Red",C183))</formula>
    </cfRule>
  </conditionalFormatting>
  <conditionalFormatting sqref="C183:C189">
    <cfRule type="expression" dxfId="2" priority="2">
      <formula>ISNUMBER(SEARCH("Amber",C183))</formula>
    </cfRule>
  </conditionalFormatting>
  <conditionalFormatting sqref="C183:C189">
    <cfRule type="expression" dxfId="1" priority="3">
      <formula>ISNUMBER(SEARCH("Green",C183))</formula>
    </cfRule>
  </conditionalFormatting>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110.0"/>
    <col customWidth="1" min="3" max="26" width="8.71"/>
  </cols>
  <sheetData>
    <row r="1" ht="30.0" customHeight="1">
      <c r="A1" s="1" t="s">
        <v>32</v>
      </c>
      <c r="B1" s="2"/>
    </row>
    <row r="2">
      <c r="A2" s="3" t="s">
        <v>34</v>
      </c>
    </row>
    <row r="4">
      <c r="A4" s="4" t="s">
        <v>7</v>
      </c>
      <c r="B4" s="2"/>
    </row>
    <row r="5" ht="21.75" customHeight="1">
      <c r="B5" s="19" t="str">
        <f t="array" ref="B5">INDIRECT("'02 Model'!C192")</f>
        <v>Ready. Read the 2 amber flags first</v>
      </c>
    </row>
    <row r="6" ht="48.0" customHeight="1">
      <c r="B6" s="19" t="str">
        <f t="array" ref="B6">INDIRECT("'02 Model'!C193")</f>
        <v>September 2026: MRR $68,000, +3.8% on last month. Runway 18.0 months. Default dead: you need 4.5% a month and you are growing 3.7% a month over the last 3 months. 2 amber flags on 03 Outputs.</v>
      </c>
    </row>
    <row r="8">
      <c r="A8" s="4" t="s">
        <v>59</v>
      </c>
      <c r="B8" s="2"/>
    </row>
    <row r="9" ht="30.0" customHeight="1">
      <c r="B9" s="23" t="str">
        <f t="array" ref="B9">"Runway: "&amp;INDIRECT("'02 Model'!C183")&amp;". "&amp;INDIRECT("'02 Model'!D183")</f>
        <v>Runway: Green. Runway 18.0 months at the 3 month average net burn of $195,000.</v>
      </c>
    </row>
    <row r="10" ht="30.0" customHeight="1">
      <c r="B10" s="23" t="str">
        <f t="array" ref="B10">"Default alive: "&amp;INDIRECT("'02 Model'!C184")&amp;". "&amp;INDIRECT("'02 Model'!D184")</f>
        <v>Default alive: Amber. Default dead: at 3.7% a month and flat spending, cash runs out in September 2028, before revenue covers spending in November 2029. Growth needed: 4.5% a month, vs 3.7% now.</v>
      </c>
    </row>
    <row r="11" ht="30.0" customHeight="1">
      <c r="B11" s="23" t="str">
        <f t="array" ref="B11">"Revenue down: "&amp;INDIRECT("'02 Model'!C185")&amp;". "&amp;INDIRECT("'02 Model'!D185")</f>
        <v>Revenue down: Green. Revenue up 3.8% on last month.</v>
      </c>
    </row>
    <row r="12" ht="30.0" customHeight="1">
      <c r="B12" s="23" t="str">
        <f t="array" ref="B12">"Burn multiple: "&amp;INDIRECT("'02 Model'!C186")&amp;". "&amp;INDIRECT("'02 Model'!D186")</f>
        <v>Burn multiple: Amber. Burn multiple 7.0x over the last 3 months (Bad on the 2020 scale). Expect the question; the plan line should answer it.</v>
      </c>
    </row>
    <row r="13" ht="30.0" customHeight="1">
      <c r="B13" s="23" t="str">
        <f t="array" ref="B13">"Dropped metric: "&amp;INDIRECT("'02 Model'!C187")&amp;". "&amp;INDIRECT("'02 Model'!D187")</f>
        <v>Dropped metric: Green. Same metrics as last month.</v>
      </c>
    </row>
    <row r="14" ht="30.0" customHeight="1">
      <c r="B14" s="23" t="str">
        <f t="array" ref="B14">"Asks: "&amp;INDIRECT("'02 Model'!C188")&amp;". "&amp;INDIRECT("'02 Model'!D188")</f>
        <v>Asks: Green. Asks are in, near the top.</v>
      </c>
    </row>
    <row r="15" ht="30.0" customHeight="1">
      <c r="B15" s="23" t="str">
        <f t="array" ref="B15">"Plan line: "&amp;INDIRECT("'02 Model'!C189")&amp;". "&amp;INDIRECT("'02 Model'!D189")</f>
        <v>Plan line: Green. Every red flag has a plan line.</v>
      </c>
    </row>
    <row r="17">
      <c r="A17" s="4" t="s">
        <v>74</v>
      </c>
      <c r="B17" s="2"/>
    </row>
    <row r="18">
      <c r="B18" s="5" t="str">
        <f t="array" ref="B18">IFERROR(INDEX(INDIRECT("'02 Model'!D197:D242"),MATCH(1,INDIRECT("'02 Model'!C197:C242"),0)),"")</f>
        <v>Subject: Example Co update, September 2026: MRR $68,000, +3.8% MoM</v>
      </c>
    </row>
    <row r="19">
      <c r="B19" s="5" t="str">
        <f t="array" ref="B19">IFERROR(INDEX(INDIRECT("'02 Model'!D197:D242"),MATCH(2,INDIRECT("'02 Model'!C197:C242"),0)),"")</f>
        <v> </v>
      </c>
    </row>
    <row r="20">
      <c r="B20" s="5" t="str">
        <f t="array" ref="B20">IFERROR(INDEX(INDIRECT("'02 Model'!D197:D242"),MATCH(3,INDIRECT("'02 Model'!C197:C242"),0)),"")</f>
        <v>Hi all,</v>
      </c>
    </row>
    <row r="21" ht="15.75" customHeight="1">
      <c r="B21" s="5" t="str">
        <f t="array" ref="B21">IFERROR(INDEX(INDIRECT("'02 Model'!D197:D242"),MATCH(4,INDIRECT("'02 Model'!C197:C242"),0)),"")</f>
        <v> </v>
      </c>
    </row>
    <row r="22" ht="15.75" customHeight="1">
      <c r="B22" s="5" t="str">
        <f t="array" ref="B22">IFERROR(INDEX(INDIRECT("'02 Model'!D197:D242"),MATCH(5,INDIRECT("'02 Model'!C197:C242"),0)),"")</f>
        <v>Example Co sells scheduling software to multi-site dental groups.</v>
      </c>
    </row>
    <row r="23" ht="15.75" customHeight="1">
      <c r="B23" s="5" t="str">
        <f t="array" ref="B23">IFERROR(INDEX(INDIRECT("'02 Model'!D197:D242"),MATCH(6,INDIRECT("'02 Model'!C197:C242"),0)),"")</f>
        <v>TL;DR: MRR $68,000 (+3.8% on last month, 3.7% a month over 3 months). Runway 18.0 months. Two new groups signed. Growth is below plan and we are acting on it. Plan: hold headcount at 13, cut $25K a month of tools and contractors by December, and focus sales on groups with 10 or more sites.</v>
      </c>
    </row>
    <row r="24" ht="15.75" customHeight="1">
      <c r="B24" s="5" t="str">
        <f t="array" ref="B24">IFERROR(INDEX(INDIRECT("'02 Model'!D197:D242"),MATCH(7,INDIRECT("'02 Model'!C197:C242"),0)),"")</f>
        <v> </v>
      </c>
    </row>
    <row r="25" ht="15.75" customHeight="1">
      <c r="B25" s="5" t="str">
        <f t="array" ref="B25">IFERROR(INDEX(INDIRECT("'02 Model'!D197:D242"),MATCH(8,INDIRECT("'02 Model'!C197:C242"),0)),"")</f>
        <v>NUMBERS, SEPTEMBER 2026</v>
      </c>
    </row>
    <row r="26" ht="15.75" customHeight="1">
      <c r="B26" s="5" t="str">
        <f t="array" ref="B26">IFERROR(INDEX(INDIRECT("'02 Model'!D197:D242"),MATCH(9,INDIRECT("'02 Model'!C197:C242"),0)),"")</f>
        <v>MRR: $68,000 (last month $65,500, +3.8%)</v>
      </c>
    </row>
    <row r="27" ht="15.75" customHeight="1">
      <c r="B27" s="5" t="str">
        <f t="array" ref="B27">IFERROR(INDEX(INDIRECT("'02 Model'!D197:D242"),MATCH(10,INDIRECT("'02 Model'!C197:C242"),0)),"")</f>
        <v>Annualized: $816,000</v>
      </c>
    </row>
    <row r="28" ht="15.75" customHeight="1">
      <c r="B28" s="5" t="str">
        <f t="array" ref="B28">IFERROR(INDEX(INDIRECT("'02 Model'!D197:D242"),MATCH(11,INDIRECT("'02 Model'!C197:C242"),0)),"")</f>
        <v>Growth: 3.7% a month, compounded over the last 3 months</v>
      </c>
    </row>
    <row r="29" ht="15.75" customHeight="1">
      <c r="B29" s="5" t="str">
        <f t="array" ref="B29">IFERROR(INDEX(INDIRECT("'02 Model'!D197:D242"),MATCH(12,INDIRECT("'02 Model'!C197:C242"),0)),"")</f>
        <v>Customers: 45 (last month 43)</v>
      </c>
    </row>
    <row r="30" ht="15.75" customHeight="1">
      <c r="B30" s="5" t="str">
        <f t="array" ref="B30">IFERROR(INDEX(INDIRECT("'02 Model'!D197:D242"),MATCH(13,INDIRECT("'02 Model'!C197:C242"),0)),"")</f>
        <v>Headcount: 13 (last month 13)</v>
      </c>
    </row>
    <row r="31" ht="15.75" customHeight="1">
      <c r="B31" s="5" t="str">
        <f t="array" ref="B31">IFERROR(INDEX(INDIRECT("'02 Model'!D197:D242"),MATCH(14,INDIRECT("'02 Model'!C197:C242"),0)),"")</f>
        <v>Net revenue retention: 101% (last month 98%)</v>
      </c>
    </row>
    <row r="32" ht="15.75" customHeight="1">
      <c r="B32" s="5" t="str">
        <f t="array" ref="B32">IFERROR(INDEX(INDIRECT("'02 Model'!D197:D242"),MATCH(15,INDIRECT("'02 Model'!C197:C242"),0)),"")</f>
        <v>Cash at month end: $3,515,000</v>
      </c>
    </row>
    <row r="33" ht="15.75" customHeight="1">
      <c r="B33" s="5" t="str">
        <f t="array" ref="B33">IFERROR(INDEX(INDIRECT("'02 Model'!D197:D242"),MATCH(16,INDIRECT("'02 Model'!C197:C242"),0)),"")</f>
        <v>Net burn: $205,000 this month, $195,000 a month on average over the last 3 months</v>
      </c>
    </row>
    <row r="34" ht="15.75" customHeight="1">
      <c r="B34" s="5" t="str">
        <f t="array" ref="B34">IFERROR(INDEX(INDIRECT("'02 Model'!D197:D242"),MATCH(17,INDIRECT("'02 Model'!C197:C242"),0)),"")</f>
        <v>Runway: 18.0 months, to about March 2028 at that burn</v>
      </c>
    </row>
    <row r="35" ht="15.75" customHeight="1">
      <c r="B35" s="5" t="str">
        <f t="array" ref="B35">IFERROR(INDEX(INDIRECT("'02 Model'!D197:D242"),MATCH(18,INDIRECT("'02 Model'!C197:C242"),0)),"")</f>
        <v>Burn multiple: 7.0x over the last 3 months</v>
      </c>
    </row>
    <row r="36" ht="15.75" customHeight="1">
      <c r="B36" s="5" t="str">
        <f t="array" ref="B36">IFERROR(INDEX(INDIRECT("'02 Model'!D197:D242"),MATCH(19,INDIRECT("'02 Model'!C197:C242"),0)),"")</f>
        <v>Default alive: no. At 3.7% a month and flat spending, cash runs out in September 2028, 14 months before revenue covers spending. 4.5% a month would get us there.</v>
      </c>
    </row>
    <row r="37" ht="15.75" customHeight="1">
      <c r="B37" s="5" t="str">
        <f t="array" ref="B37">IFERROR(INDEX(INDIRECT("'02 Model'!D197:D242"),MATCH(20,INDIRECT("'02 Model'!C197:C242"),0)),"")</f>
        <v> </v>
      </c>
    </row>
    <row r="38" ht="15.75" customHeight="1">
      <c r="B38" s="5" t="str">
        <f t="array" ref="B38">IFERROR(INDEX(INDIRECT("'02 Model'!D197:D242"),MATCH(21,INDIRECT("'02 Model'!C197:C242"),0)),"")</f>
        <v>ASKS</v>
      </c>
    </row>
    <row r="39" ht="15.75" customHeight="1">
      <c r="B39" s="5" t="str">
        <f t="array" ref="B39">IFERROR(INDEX(INDIRECT("'02 Model'!D197:D242"),MATCH(22,INDIRECT("'02 Model'!C197:C242"),0)),"")</f>
        <v>1. Intros to heads of operations at dental groups with 20 or more sites.</v>
      </c>
    </row>
    <row r="40" ht="15.75" customHeight="1">
      <c r="B40" s="5" t="str">
        <f t="array" ref="B40">IFERROR(INDEX(INDIRECT("'02 Model'!D197:D242"),MATCH(23,INDIRECT("'02 Model'!C197:C242"),0)),"")</f>
        <v>2. A referral for a senior account executive who has sold into healthcare.</v>
      </c>
    </row>
    <row r="41" ht="15.75" customHeight="1">
      <c r="B41" s="5" t="str">
        <f t="array" ref="B41">IFERROR(INDEX(INDIRECT("'02 Model'!D197:D242"),MATCH(24,INDIRECT("'02 Model'!C197:C242"),0)),"")</f>
        <v> </v>
      </c>
    </row>
    <row r="42" ht="15.75" customHeight="1">
      <c r="B42" s="5" t="str">
        <f t="array" ref="B42">IFERROR(INDEX(INDIRECT("'02 Model'!D197:D242"),MATCH(25,INDIRECT("'02 Model'!C197:C242"),0)),"")</f>
        <v>HIGHLIGHTS</v>
      </c>
    </row>
    <row r="43" ht="15.75" customHeight="1">
      <c r="B43" s="5" t="str">
        <f t="array" ref="B43">IFERROR(INDEX(INDIRECT("'02 Model'!D197:D242"),MATCH(26,INDIRECT("'02 Model'!C197:C242"),0)),"")</f>
        <v>• Signed two groups with 14 sites between them.</v>
      </c>
    </row>
    <row r="44" ht="15.75" customHeight="1">
      <c r="B44" s="5" t="str">
        <f t="array" ref="B44">IFERROR(INDEX(INDIRECT("'02 Model'!D197:D242"),MATCH(27,INDIRECT("'02 Model'!C197:C242"),0)),"")</f>
        <v>• Shipped multi-location reporting; 12 customers use it weekly.</v>
      </c>
    </row>
    <row r="45" ht="15.75" customHeight="1">
      <c r="B45" s="5" t="str">
        <f t="array" ref="B45">IFERROR(INDEX(INDIRECT("'02 Model'!D197:D242"),MATCH(28,INDIRECT("'02 Model'!C197:C242"),0)),"")</f>
        <v> </v>
      </c>
    </row>
    <row r="46" ht="15.75" customHeight="1">
      <c r="B46" s="5" t="str">
        <f t="array" ref="B46">IFERROR(INDEX(INDIRECT("'02 Model'!D197:D242"),MATCH(29,INDIRECT("'02 Model'!C197:C242"),0)),"")</f>
        <v>LOWLIGHTS</v>
      </c>
    </row>
    <row r="47" ht="15.75" customHeight="1">
      <c r="B47" s="5" t="str">
        <f t="array" ref="B47">IFERROR(INDEX(INDIRECT("'02 Model'!D197:D242"),MATCH(30,INDIRECT("'02 Model'!C197:C242"),0)),"")</f>
        <v>• Growth was 3.8% this month against a 6% plan. Two deals slipped to October. What we are changing: Weekly pipeline review with the founders; no new spend until the two deals close.</v>
      </c>
    </row>
    <row r="48" ht="15.75" customHeight="1">
      <c r="B48" s="5" t="str">
        <f t="array" ref="B48">IFERROR(INDEX(INDIRECT("'02 Model'!D197:D242"),MATCH(31,INDIRECT("'02 Model'!C197:C242"),0)),"")</f>
        <v> </v>
      </c>
    </row>
    <row r="49" ht="15.75" customHeight="1">
      <c r="B49" s="5" t="str">
        <f t="array" ref="B49">IFERROR(INDEX(INDIRECT("'02 Model'!D197:D242"),MATCH(32,INDIRECT("'02 Model'!C197:C242"),0)),"")</f>
        <v>NEXT MONTH</v>
      </c>
    </row>
    <row r="50" ht="15.75" customHeight="1">
      <c r="B50" s="5" t="str">
        <f t="array" ref="B50">IFERROR(INDEX(INDIRECT("'02 Model'!D197:D242"),MATCH(33,INDIRECT("'02 Model'!C197:C242"),0)),"")</f>
        <v>• Close the two slipped deals.</v>
      </c>
    </row>
    <row r="51" ht="15.75" customHeight="1">
      <c r="B51" s="5" t="str">
        <f t="array" ref="B51">IFERROR(INDEX(INDIRECT("'02 Model'!D197:D242"),MATCH(34,INDIRECT("'02 Model'!C197:C242"),0)),"")</f>
        <v>• Hire the senior account executive.</v>
      </c>
    </row>
    <row r="52" ht="15.75" customHeight="1">
      <c r="B52" s="5" t="str">
        <f t="array" ref="B52">IFERROR(INDEX(INDIRECT("'02 Model'!D197:D242"),MATCH(35,INDIRECT("'02 Model'!C197:C242"),0)),"")</f>
        <v> </v>
      </c>
    </row>
    <row r="53" ht="15.75" customHeight="1">
      <c r="B53" s="5" t="str">
        <f t="array" ref="B53">IFERROR(INDEX(INDIRECT("'02 Model'!D197:D242"),MATCH(36,INDIRECT("'02 Model'!C197:C242"),0)),"")</f>
        <v>Thanks to everyone who sent intros last month; three became pilots.</v>
      </c>
    </row>
    <row r="54" ht="15.75" customHeight="1">
      <c r="B54" s="5" t="str">
        <f t="array" ref="B54">IFERROR(INDEX(INDIRECT("'02 Model'!D197:D242"),MATCH(37,INDIRECT("'02 Model'!C197:C242"),0)),"")</f>
        <v> </v>
      </c>
    </row>
    <row r="55" ht="15.75" customHeight="1">
      <c r="B55" s="5" t="str">
        <f t="array" ref="B55">IFERROR(INDEX(INDIRECT("'02 Model'!D197:D242"),MATCH(38,INDIRECT("'02 Model'!C197:C242"),0)),"")</f>
        <v>Raise: Raising in 6 to 12 months.</v>
      </c>
    </row>
    <row r="56" ht="15.75" customHeight="1">
      <c r="B56" s="5" t="str">
        <f t="array" ref="B56">IFERROR(INDEX(INDIRECT("'02 Model'!D197:D242"),MATCH(39,INDIRECT("'02 Model'!C197:C242"),0)),"")</f>
        <v> </v>
      </c>
    </row>
    <row r="57" ht="15.75" customHeight="1">
      <c r="B57" s="5" t="str">
        <f t="array" ref="B57">IFERROR(INDEX(INDIRECT("'02 Model'!D197:D242"),MATCH(40,INDIRECT("'02 Model'!C197:C242"),0)),"")</f>
        <v>Definitions: net burn is cash out minus cash in before new financing. Runway is cash divided by average net burn over the last 3 months.</v>
      </c>
    </row>
    <row r="58" ht="15.75" customHeight="1">
      <c r="B58" s="5" t="str">
        <f t="array" ref="B58">IFERROR(INDEX(INDIRECT("'02 Model'!D197:D242"),MATCH(41,INDIRECT("'02 Model'!C197:C242"),0)),"")</f>
        <v> </v>
      </c>
    </row>
    <row r="59" ht="15.75" customHeight="1">
      <c r="B59" s="5" t="str">
        <f t="array" ref="B59">IFERROR(INDEX(INDIRECT("'02 Model'!D197:D242"),MATCH(42,INDIRECT("'02 Model'!C197:C242"),0)),"")</f>
        <v>Thanks,</v>
      </c>
    </row>
    <row r="60" ht="15.75" customHeight="1">
      <c r="B60" s="5" t="str">
        <f t="array" ref="B60">IFERROR(INDEX(INDIRECT("'02 Model'!D197:D242"),MATCH(43,INDIRECT("'02 Model'!C197:C242"),0)),"")</f>
        <v>Sam</v>
      </c>
    </row>
    <row r="61" ht="15.75" customHeight="1">
      <c r="B61" s="5" t="str">
        <f t="array" ref="B61">IFERROR(INDEX(INDIRECT("'02 Model'!D197:D242"),MATCH(44,INDIRECT("'02 Model'!C197:C242"),0)),"")</f>
        <v/>
      </c>
    </row>
    <row r="62" ht="15.75" customHeight="1">
      <c r="B62" s="5" t="str">
        <f t="array" ref="B62">IFERROR(INDEX(INDIRECT("'02 Model'!D197:D242"),MATCH(45,INDIRECT("'02 Model'!C197:C242"),0)),"")</f>
        <v/>
      </c>
    </row>
    <row r="63" ht="15.75" customHeight="1">
      <c r="B63" s="5" t="str">
        <f t="array" ref="B63">IFERROR(INDEX(INDIRECT("'02 Model'!D197:D242"),MATCH(46,INDIRECT("'02 Model'!C197:C242"),0)),"")</f>
        <v/>
      </c>
    </row>
    <row r="64" ht="15.75" customHeight="1"/>
    <row r="65" ht="15.75" customHeight="1">
      <c r="B65" s="12" t="s">
        <v>124</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B9:B15">
    <cfRule type="expression" dxfId="0" priority="1">
      <formula>ISNUMBER(SEARCH(": Red.",B9))</formula>
    </cfRule>
  </conditionalFormatting>
  <conditionalFormatting sqref="B9:B15">
    <cfRule type="expression" dxfId="2" priority="2">
      <formula>ISNUMBER(SEARCH(": Amber.",B9))</formula>
    </cfRule>
  </conditionalFormatting>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0.0"/>
    <col customWidth="1" min="3" max="7" width="14.0"/>
    <col customWidth="1" min="8" max="26" width="8.71"/>
  </cols>
  <sheetData>
    <row r="1" ht="30.0" customHeight="1">
      <c r="A1" s="1" t="s">
        <v>75</v>
      </c>
      <c r="B1" s="2"/>
      <c r="C1" s="2"/>
      <c r="D1" s="2"/>
      <c r="E1" s="2"/>
      <c r="F1" s="2"/>
      <c r="G1" s="2"/>
    </row>
    <row r="2">
      <c r="A2" s="3" t="s">
        <v>76</v>
      </c>
    </row>
    <row r="4">
      <c r="A4" s="4" t="s">
        <v>77</v>
      </c>
      <c r="B4" s="2"/>
      <c r="C4" s="2"/>
      <c r="D4" s="2"/>
      <c r="E4" s="2"/>
      <c r="F4" s="2"/>
      <c r="G4" s="2"/>
    </row>
    <row r="5">
      <c r="B5" s="29" t="s">
        <v>78</v>
      </c>
      <c r="C5" s="30">
        <v>-0.2</v>
      </c>
      <c r="D5" s="30">
        <v>-0.1</v>
      </c>
      <c r="E5" s="30">
        <v>0.0</v>
      </c>
      <c r="F5" s="30">
        <v>0.1</v>
      </c>
      <c r="G5" s="30">
        <v>0.2</v>
      </c>
    </row>
    <row r="6">
      <c r="B6" s="31">
        <f t="array" ref="B6">MAX(0.001,INDIRECT("'02 Model'!C49")+-0.02)</f>
        <v>0.01687489462</v>
      </c>
      <c r="C6" s="35">
        <f t="shared" ref="C6:G6" si="1">IF(OR(INDIRECT("'02 Model'!C32")&lt;2,INDIRECT("'02 Model'!C37")&lt;=0),"n/a",IF((INDIRECT("'02 Model'!C46")*(1+C$5))&lt;=INDIRECT("'02 Model'!C37"),"Covered",INDIRECT("'02 Model'!C42")-(ROUNDUP(LN((INDIRECT("'02 Model'!C46")*(1+C$5))/INDIRECT("'02 Model'!C37"))/LN(1+$B6)-0.000000001,0)-1)*(INDIRECT("'02 Model'!C46")*(1+C$5))+INDIRECT("'02 Model'!C37")*((1+$B6)^ROUNDUP(LN((INDIRECT("'02 Model'!C46")*(1+C$5))/INDIRECT("'02 Model'!C37"))/LN(1+$B6)-0.000000001,0)-(1+$B6))/$B6))</f>
        <v>-1972114.128</v>
      </c>
      <c r="D6" s="35">
        <f t="shared" si="1"/>
        <v>-3795907.178</v>
      </c>
      <c r="E6" s="35">
        <f t="shared" si="1"/>
        <v>-5793431.694</v>
      </c>
      <c r="F6" s="35">
        <f t="shared" si="1"/>
        <v>-7946210.737</v>
      </c>
      <c r="G6" s="35">
        <f t="shared" si="1"/>
        <v>-10241271.36</v>
      </c>
    </row>
    <row r="7">
      <c r="B7" s="31">
        <f t="array" ref="B7">MAX(0.001,INDIRECT("'02 Model'!C49")+-0.01)</f>
        <v>0.02687489462</v>
      </c>
      <c r="C7" s="35">
        <f t="shared" ref="C7:G7" si="2">IF(OR(INDIRECT("'02 Model'!C32")&lt;2,INDIRECT("'02 Model'!C37")&lt;=0),"n/a",IF((INDIRECT("'02 Model'!C46")*(1+C$5))&lt;=INDIRECT("'02 Model'!C37"),"Covered",INDIRECT("'02 Model'!C42")-(ROUNDUP(LN((INDIRECT("'02 Model'!C46")*(1+C$5))/INDIRECT("'02 Model'!C37"))/LN(1+$B7)-0.000000001,0)-1)*(INDIRECT("'02 Model'!C46")*(1+C$5))+INDIRECT("'02 Model'!C37")*((1+$B7)^ROUNDUP(LN((INDIRECT("'02 Model'!C46")*(1+C$5))/INDIRECT("'02 Model'!C37"))/LN(1+$B7)-0.000000001,0)-(1+$B7))/$B7))</f>
        <v>78324.7862</v>
      </c>
      <c r="D7" s="35">
        <f t="shared" si="2"/>
        <v>-1067868.064</v>
      </c>
      <c r="E7" s="35">
        <f t="shared" si="2"/>
        <v>-2323340.274</v>
      </c>
      <c r="F7" s="35">
        <f t="shared" si="2"/>
        <v>-3676999.122</v>
      </c>
      <c r="G7" s="35">
        <f t="shared" si="2"/>
        <v>-5120521.5</v>
      </c>
    </row>
    <row r="8">
      <c r="B8" s="31">
        <f t="array" ref="B8">MAX(0.001,INDIRECT("'02 Model'!C49")+0)</f>
        <v>0.03687489462</v>
      </c>
      <c r="C8" s="35">
        <f t="shared" ref="C8:G8" si="3">IF(OR(INDIRECT("'02 Model'!C32")&lt;2,INDIRECT("'02 Model'!C37")&lt;=0),"n/a",IF((INDIRECT("'02 Model'!C46")*(1+C$5))&lt;=INDIRECT("'02 Model'!C37"),"Covered",INDIRECT("'02 Model'!C42")-(ROUNDUP(LN((INDIRECT("'02 Model'!C46")*(1+C$5))/INDIRECT("'02 Model'!C37"))/LN(1+$B8)-0.000000001,0)-1)*(INDIRECT("'02 Model'!C46")*(1+C$5))+INDIRECT("'02 Model'!C37")*((1+$B8)^ROUNDUP(LN((INDIRECT("'02 Model'!C46")*(1+C$5))/INDIRECT("'02 Model'!C37"))/LN(1+$B8)-0.000000001,0)-(1+$B8))/$B8))</f>
        <v>1017170.787</v>
      </c>
      <c r="D8" s="35">
        <f t="shared" si="3"/>
        <v>181014.6043</v>
      </c>
      <c r="E8" s="35">
        <f t="shared" si="3"/>
        <v>-734616.3188</v>
      </c>
      <c r="F8" s="35">
        <f t="shared" si="3"/>
        <v>-1723194.764</v>
      </c>
      <c r="G8" s="35">
        <f t="shared" si="3"/>
        <v>-2776202.172</v>
      </c>
    </row>
    <row r="9">
      <c r="B9" s="31">
        <f t="array" ref="B9">MAX(0.001,INDIRECT("'02 Model'!C49")+0.01)</f>
        <v>0.04687489462</v>
      </c>
      <c r="C9" s="35">
        <f t="shared" ref="C9:G9" si="4">IF(OR(INDIRECT("'02 Model'!C32")&lt;2,INDIRECT("'02 Model'!C37")&lt;=0),"n/a",IF((INDIRECT("'02 Model'!C46")*(1+C$5))&lt;=INDIRECT("'02 Model'!C37"),"Covered",INDIRECT("'02 Model'!C42")-(ROUNDUP(LN((INDIRECT("'02 Model'!C46")*(1+C$5))/INDIRECT("'02 Model'!C37"))/LN(1+$B9)-0.000000001,0)-1)*(INDIRECT("'02 Model'!C46")*(1+C$5))+INDIRECT("'02 Model'!C37")*((1+$B9)^ROUNDUP(LN((INDIRECT("'02 Model'!C46")*(1+C$5))/INDIRECT("'02 Model'!C37"))/LN(1+$B9)-0.000000001,0)-(1+$B9))/$B9))</f>
        <v>1554450.688</v>
      </c>
      <c r="D9" s="35">
        <f t="shared" si="4"/>
        <v>897636.209</v>
      </c>
      <c r="E9" s="35">
        <f t="shared" si="4"/>
        <v>175228.9664</v>
      </c>
      <c r="F9" s="35">
        <f t="shared" si="4"/>
        <v>-603218.3519</v>
      </c>
      <c r="G9" s="35">
        <f t="shared" si="4"/>
        <v>-1433084.944</v>
      </c>
    </row>
    <row r="10">
      <c r="B10" s="31">
        <f t="array" ref="B10">MAX(0.001,INDIRECT("'02 Model'!C49")+0.02)</f>
        <v>0.05687489462</v>
      </c>
      <c r="C10" s="35">
        <f t="shared" ref="C10:G10" si="5">IF(OR(INDIRECT("'02 Model'!C32")&lt;2,INDIRECT("'02 Model'!C37")&lt;=0),"n/a",IF((INDIRECT("'02 Model'!C46")*(1+C$5))&lt;=INDIRECT("'02 Model'!C37"),"Covered",INDIRECT("'02 Model'!C42")-(ROUNDUP(LN((INDIRECT("'02 Model'!C46")*(1+C$5))/INDIRECT("'02 Model'!C37"))/LN(1+$B10)-0.000000001,0)-1)*(INDIRECT("'02 Model'!C46")*(1+C$5))+INDIRECT("'02 Model'!C37")*((1+$B10)^ROUNDUP(LN((INDIRECT("'02 Model'!C46")*(1+C$5))/INDIRECT("'02 Model'!C37"))/LN(1+$B10)-0.000000001,0)-(1+$B10))/$B10))</f>
        <v>1903570.711</v>
      </c>
      <c r="D10" s="35">
        <f t="shared" si="5"/>
        <v>1360572.409</v>
      </c>
      <c r="E10" s="35">
        <f t="shared" si="5"/>
        <v>765654.6977</v>
      </c>
      <c r="F10" s="35">
        <f t="shared" si="5"/>
        <v>124933.5982</v>
      </c>
      <c r="G10" s="35">
        <f t="shared" si="5"/>
        <v>-562173.5509</v>
      </c>
    </row>
    <row r="11">
      <c r="B11" s="12" t="s">
        <v>122</v>
      </c>
    </row>
    <row r="12">
      <c r="B12" s="12" t="s">
        <v>123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C6:G10">
    <cfRule type="expression" dxfId="0" priority="1">
      <formula>AND(ISNUMBER(C6),C6&lt;0)</formula>
    </cfRule>
  </conditionalFormatting>
  <conditionalFormatting sqref="C6:G10">
    <cfRule type="expression" dxfId="1" priority="2">
      <formula>OR(C6="Covered",AND(ISNUMBER(C6),C6&gt;=0))</formula>
    </cfRule>
  </conditionalFormatting>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52.0"/>
    <col customWidth="1" min="3" max="3" width="12.0"/>
    <col customWidth="1" min="4" max="4" width="62.0"/>
    <col customWidth="1" min="5" max="26" width="8.71"/>
  </cols>
  <sheetData>
    <row r="1" ht="30.0" customHeight="1">
      <c r="A1" s="1" t="s">
        <v>125</v>
      </c>
      <c r="B1" s="2"/>
      <c r="C1" s="2"/>
      <c r="D1" s="2"/>
    </row>
    <row r="2">
      <c r="A2" s="3" t="s">
        <v>126</v>
      </c>
    </row>
    <row r="4">
      <c r="A4" s="4" t="s">
        <v>7</v>
      </c>
      <c r="B4" s="2"/>
      <c r="C4" s="2"/>
      <c r="D4" s="2"/>
    </row>
    <row r="5">
      <c r="B5" s="6" t="s">
        <v>127</v>
      </c>
      <c r="C5" s="37" t="str">
        <f>IF(COUNTIF(C8:C16,"PASS")=9,"PASS","FAIL")</f>
        <v>PASS</v>
      </c>
    </row>
    <row r="7">
      <c r="B7" s="21" t="s">
        <v>128</v>
      </c>
      <c r="C7" s="21" t="s">
        <v>129</v>
      </c>
      <c r="D7" s="21" t="s">
        <v>130</v>
      </c>
    </row>
    <row r="8" ht="27.75" customHeight="1">
      <c r="B8" s="23" t="s">
        <v>131</v>
      </c>
      <c r="C8" s="38" t="str">
        <f t="array" ref="C8">IFERROR(IF(INDIRECT("'02 Model'!C32")&gt;=1,"PASS","FAIL"),"FAIL")</f>
        <v>PASS</v>
      </c>
      <c r="D8" s="39" t="s">
        <v>134</v>
      </c>
    </row>
    <row r="9" ht="27.75" customHeight="1">
      <c r="B9" s="23" t="s">
        <v>138</v>
      </c>
      <c r="C9" s="38" t="str">
        <f t="array" ref="C9">IFERROR(IF(AND(INDIRECT("'02 Model'!C33")=INDIRECT("'02 Model'!C32"),INDIRECT("'02 Model'!C34")=INDIRECT("'02 Model'!C32")),"PASS","FAIL"),"FAIL")</f>
        <v>PASS</v>
      </c>
      <c r="D9" s="39" t="s">
        <v>153</v>
      </c>
    </row>
    <row r="10" ht="27.75" customHeight="1">
      <c r="B10" s="23" t="s">
        <v>154</v>
      </c>
      <c r="C10" s="38" t="str">
        <f t="array" ref="C10">IFERROR(IF(INDIRECT("'02 Model'!C63")&lt;=N(INDIRECT("'01 Inputs'!C72")),"PASS","FAIL"),"FAIL")</f>
        <v>PASS</v>
      </c>
      <c r="D10" s="39" t="s">
        <v>155</v>
      </c>
    </row>
    <row r="11" ht="27.75" customHeight="1">
      <c r="B11" s="23" t="s">
        <v>156</v>
      </c>
      <c r="C11" s="38" t="str">
        <f t="array" ref="C11">IFERROR(IF(SUMPRODUCT((B6:B29&lt;=INDIRECT("'02 Model'!C32"))*((D6:D29&lt;0)+(E6:E29&lt;0)))=0,"PASS","FAIL"),"FAIL")</f>
        <v>PASS</v>
      </c>
      <c r="D11" s="39"/>
    </row>
    <row r="12" ht="27.75" customHeight="1">
      <c r="B12" s="23" t="s">
        <v>157</v>
      </c>
      <c r="C12" s="38" t="str">
        <f t="array" ref="C12">IFERROR(IF(AND(N(INDIRECT("'01 Inputs'!C70"))&gt;0,N(INDIRECT("'01 Inputs'!C71"))&gt;N(INDIRECT("'01 Inputs'!C70")),N(INDIRECT("'01 Inputs'!C72"))&gt;=0),"PASS","FAIL"),"FAIL")</f>
        <v>PASS</v>
      </c>
      <c r="D12" s="39" t="s">
        <v>158</v>
      </c>
    </row>
    <row r="13" ht="27.75" customHeight="1">
      <c r="B13" s="23" t="s">
        <v>159</v>
      </c>
      <c r="C13" s="38" t="str">
        <f t="array" ref="C13">IFERROR(IF(IF(INDIRECT("'02 Model'!C74")="",TRUE,IF(INDIRECT("'02 Model'!C80")="",TRUE,ABS(INDIRECT("'02 Model'!C80")-INDIRECT("'02 Model'!C75"))&lt;1)),"PASS","FAIL"),"FAIL")</f>
        <v>PASS</v>
      </c>
      <c r="D13" s="39" t="s">
        <v>160</v>
      </c>
    </row>
    <row r="14" ht="27.75" customHeight="1">
      <c r="B14" s="23" t="s">
        <v>161</v>
      </c>
      <c r="C14" s="38" t="str">
        <f t="array" ref="C14">IFERROR(IF(OR(INDIRECT("'02 Model'!C73")=0,INDIRECT("'02 Model'!C81")=0,INDIRECT("'02 Model'!C49")&lt;=0,AND(INDIRECT("'02 Model'!C76")="alive",INDIRECT("'02 Model'!C49")&gt;=INDIRECT("'02 Model'!C82")-0.000001),AND(INDIRECT("'02 Model'!C76")="dead",INDIRECT("'02 Model'!C49")&lt;INDIRECT("'02 Model'!C82")+0.000001)),"PASS","FAIL"),"FAIL")</f>
        <v>PASS</v>
      </c>
      <c r="D14" s="39" t="s">
        <v>162</v>
      </c>
    </row>
    <row r="15" ht="27.75" customHeight="1">
      <c r="B15" s="23" t="s">
        <v>163</v>
      </c>
      <c r="C15" s="38" t="str">
        <f t="array" ref="C15">IFERROR(IF(IF(NOT(ISNUMBER(INDIRECT("'04 Sensitivities'!E8"))),TRUE,IF(INDIRECT("'02 Model'!C74")="",TRUE,ABS(INDIRECT("'04 Sensitivities'!E8")-INDIRECT("'02 Model'!C75"))&lt;1)),"PASS","FAIL"),"FAIL")</f>
        <v>PASS</v>
      </c>
      <c r="D15" s="39"/>
    </row>
    <row r="16" ht="27.75" customHeight="1">
      <c r="B16" s="23" t="s">
        <v>164</v>
      </c>
      <c r="C16" s="38" t="str">
        <f t="array" ref="C16">IFERROR(IF(INDIRECT("'02 Model'!C243")&gt;10,"PASS","FAIL"),"FAIL")</f>
        <v>PASS</v>
      </c>
      <c r="D16" s="39"/>
    </row>
    <row r="18">
      <c r="A18" s="4" t="s">
        <v>165</v>
      </c>
      <c r="B18" s="2"/>
      <c r="C18" s="2"/>
      <c r="D18" s="2"/>
    </row>
    <row r="19" ht="27.75" customHeight="1">
      <c r="B19" s="5" t="s">
        <v>166</v>
      </c>
    </row>
    <row r="20" ht="27.75" customHeight="1">
      <c r="B20" s="5" t="s">
        <v>167</v>
      </c>
    </row>
    <row r="21" ht="27.75" customHeight="1">
      <c r="B21" s="5" t="s">
        <v>168</v>
      </c>
    </row>
    <row r="22" ht="27.75" customHeight="1">
      <c r="B22" s="5" t="s">
        <v>169</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C5:C16">
    <cfRule type="expression" dxfId="0" priority="1">
      <formula>ISNUMBER(SEARCH("FAIL",C5))</formula>
    </cfRule>
  </conditionalFormatting>
  <conditionalFormatting sqref="C5">
    <cfRule type="expression" dxfId="1" priority="2">
      <formula>C5="PASS"</formula>
    </cfRule>
  </conditionalFormatting>
  <conditionalFormatting sqref="C6">
    <cfRule type="expression" dxfId="1" priority="3">
      <formula>C6="PASS"</formula>
    </cfRule>
  </conditionalFormatting>
  <conditionalFormatting sqref="C7">
    <cfRule type="expression" dxfId="1" priority="4">
      <formula>C7="PASS"</formula>
    </cfRule>
  </conditionalFormatting>
  <conditionalFormatting sqref="C8">
    <cfRule type="expression" dxfId="1" priority="5">
      <formula>C8="PASS"</formula>
    </cfRule>
  </conditionalFormatting>
  <conditionalFormatting sqref="C9">
    <cfRule type="expression" dxfId="1" priority="6">
      <formula>C9="PASS"</formula>
    </cfRule>
  </conditionalFormatting>
  <conditionalFormatting sqref="C10">
    <cfRule type="expression" dxfId="1" priority="7">
      <formula>C10="PASS"</formula>
    </cfRule>
  </conditionalFormatting>
  <conditionalFormatting sqref="C11">
    <cfRule type="expression" dxfId="1" priority="8">
      <formula>C11="PASS"</formula>
    </cfRule>
  </conditionalFormatting>
  <conditionalFormatting sqref="C12">
    <cfRule type="expression" dxfId="1" priority="9">
      <formula>C12="PASS"</formula>
    </cfRule>
  </conditionalFormatting>
  <conditionalFormatting sqref="C13">
    <cfRule type="expression" dxfId="1" priority="10">
      <formula>C13="PASS"</formula>
    </cfRule>
  </conditionalFormatting>
  <conditionalFormatting sqref="C14">
    <cfRule type="expression" dxfId="1" priority="11">
      <formula>C14="PASS"</formula>
    </cfRule>
  </conditionalFormatting>
  <conditionalFormatting sqref="C15">
    <cfRule type="expression" dxfId="1" priority="12">
      <formula>C15="PASS"</formula>
    </cfRule>
  </conditionalFormatting>
  <conditionalFormatting sqref="C16">
    <cfRule type="expression" dxfId="1" priority="13">
      <formula>C16="PASS"</formula>
    </cfRule>
  </conditionalFormatting>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46.0"/>
    <col customWidth="1" min="3" max="3" width="70.0"/>
    <col customWidth="1" min="4" max="4" width="16.0"/>
    <col customWidth="1" min="5" max="26" width="8.71"/>
  </cols>
  <sheetData>
    <row r="1" ht="30.0" customHeight="1">
      <c r="A1" s="1" t="s">
        <v>132</v>
      </c>
      <c r="B1" s="2"/>
      <c r="C1" s="2"/>
      <c r="D1" s="2"/>
    </row>
    <row r="3">
      <c r="A3" s="4" t="s">
        <v>133</v>
      </c>
      <c r="B3" s="2"/>
      <c r="C3" s="2"/>
      <c r="D3" s="2"/>
    </row>
    <row r="4">
      <c r="B4" s="21" t="s">
        <v>135</v>
      </c>
      <c r="C4" s="21" t="s">
        <v>136</v>
      </c>
      <c r="D4" s="21" t="s">
        <v>137</v>
      </c>
    </row>
    <row r="5" ht="43.5" customHeight="1">
      <c r="B5" s="23" t="s">
        <v>139</v>
      </c>
      <c r="C5" s="23" t="s">
        <v>140</v>
      </c>
      <c r="D5" s="23" t="s">
        <v>141</v>
      </c>
    </row>
    <row r="6" ht="43.5" customHeight="1">
      <c r="B6" s="23" t="s">
        <v>142</v>
      </c>
      <c r="C6" s="23" t="s">
        <v>143</v>
      </c>
      <c r="D6" s="23" t="s">
        <v>144</v>
      </c>
    </row>
    <row r="7" ht="43.5" customHeight="1">
      <c r="B7" s="23" t="s">
        <v>145</v>
      </c>
      <c r="C7" s="23" t="s">
        <v>146</v>
      </c>
      <c r="D7" s="23" t="s">
        <v>147</v>
      </c>
    </row>
    <row r="9">
      <c r="A9" s="4" t="s">
        <v>148</v>
      </c>
      <c r="B9" s="2"/>
      <c r="C9" s="2"/>
      <c r="D9" s="2"/>
    </row>
    <row r="10" ht="30.0" customHeight="1">
      <c r="B10" s="5" t="s">
        <v>149</v>
      </c>
    </row>
    <row r="11" ht="30.0" customHeight="1">
      <c r="B11" s="5" t="s">
        <v>150</v>
      </c>
    </row>
    <row r="12" ht="30.0" customHeight="1">
      <c r="B12" s="5" t="s">
        <v>151</v>
      </c>
    </row>
    <row r="13" ht="30.0" customHeight="1">
      <c r="B13" s="5" t="s">
        <v>152</v>
      </c>
    </row>
    <row r="15">
      <c r="B15" s="11" t="s">
        <v>29</v>
      </c>
    </row>
    <row r="16">
      <c r="B16" s="12" t="s">
        <v>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